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6195" windowHeight="7320" activeTab="0"/>
  </bookViews>
  <sheets>
    <sheet name="IHSTATS8" sheetId="1" r:id="rId1"/>
  </sheets>
  <definedNames>
    <definedName name="_xlnm.Print_Area" localSheetId="0">'IHSTATS8'!$A$1:$Z$72</definedName>
    <definedName name="Z_23CB5E0A_4449_4847_8655_3F1C63F7DFA5_.wvu.Cols" localSheetId="0" hidden="1">'IHSTATS8'!$C:$R</definedName>
    <definedName name="Z_23CB5E0A_4449_4847_8655_3F1C63F7DFA5_.wvu.PrintArea" localSheetId="0" hidden="1">'IHSTATS8'!$A$1:$Z$72</definedName>
    <definedName name="Z_23CB5E0A_4449_4847_8655_3F1C63F7DFA5_.wvu.Rows" localSheetId="0" hidden="1">'IHSTATS8'!$76:$499</definedName>
    <definedName name="Z_AD768017_16ED_4625_83BF_5766735B597D_.wvu.Cols" localSheetId="0" hidden="1">'IHSTATS8'!$C:$R</definedName>
    <definedName name="Z_AD768017_16ED_4625_83BF_5766735B597D_.wvu.PrintArea" localSheetId="0" hidden="1">'IHSTATS8'!$A$1:$Z$72</definedName>
    <definedName name="Z_AD768017_16ED_4625_83BF_5766735B597D_.wvu.Rows" localSheetId="0" hidden="1">'IHSTATS8'!$76:$499</definedName>
  </definedNames>
  <calcPr fullCalcOnLoad="1"/>
</workbook>
</file>

<file path=xl/comments1.xml><?xml version="1.0" encoding="utf-8"?>
<comments xmlns="http://schemas.openxmlformats.org/spreadsheetml/2006/main">
  <authors>
    <author>Jim Myers</author>
  </authors>
  <commentList>
    <comment ref="AA1" authorId="0">
      <text>
        <r>
          <rPr>
            <b/>
            <sz val="10"/>
            <rFont val="Geneva"/>
            <family val="0"/>
          </rPr>
          <t xml:space="preserve">DISCLAIMER
The material embodied on this software is provided "as-is" and without warranty of any kind, expressed, implied or otherwise, including without limitation any warranty of merchantability or fitness for a particular purpose. In no event shall the American Industrial Hygiene Association (AIHA) be liable for any direct, indirect, special, incidental, or consequential damages of any kind, or any damages whatsoever, including without limitation loss of profit, loss of use, savings or revenue, or the claims of third parties, whether or not AIHA has been advised of the possibility of such loss, however caused, and on any theory of liability, arising out of or in connection with the possession, use, or performance of this software.
</t>
        </r>
      </text>
    </comment>
  </commentList>
</comments>
</file>

<file path=xl/sharedStrings.xml><?xml version="1.0" encoding="utf-8"?>
<sst xmlns="http://schemas.openxmlformats.org/spreadsheetml/2006/main" count="375" uniqueCount="249">
  <si>
    <t>Data Description:</t>
  </si>
  <si>
    <t>OEL</t>
  </si>
  <si>
    <t>DESCRIPTIVE STATISTICS</t>
  </si>
  <si>
    <t>Lognormal Plot "Y Scale"</t>
  </si>
  <si>
    <t>Normal Plot "Y Scale"</t>
  </si>
  <si>
    <t>DATA FOR BEST FIT LINE</t>
  </si>
  <si>
    <t>LN data vs Probit for best fit line</t>
  </si>
  <si>
    <t>Sample Data</t>
  </si>
  <si>
    <t>Plot Position</t>
  </si>
  <si>
    <t>X Axis</t>
  </si>
  <si>
    <t>Y Axis</t>
  </si>
  <si>
    <t>X</t>
  </si>
  <si>
    <t>PLOT POS. 2 (NEEDED FOR SLOPE OF LINE) - Adjusted Plot Position</t>
  </si>
  <si>
    <t>&gt; OEL ?</t>
  </si>
  <si>
    <t>LN(Data)</t>
  </si>
  <si>
    <t>(x-mean)2</t>
  </si>
  <si>
    <t>(y-meany)2</t>
  </si>
  <si>
    <t>Minimum (min)</t>
  </si>
  <si>
    <t>Range</t>
  </si>
  <si>
    <t>No less-than (&lt;)</t>
  </si>
  <si>
    <t>Percent above OEL (%&gt;OEL)</t>
  </si>
  <si>
    <t>or greater-than (&gt;)</t>
  </si>
  <si>
    <t xml:space="preserve">Mean </t>
  </si>
  <si>
    <t>Median</t>
  </si>
  <si>
    <t>TEST FOR DISTRIBUTION FIT</t>
  </si>
  <si>
    <t>LOGNORMAL PARAMETRIC STATISTICS</t>
  </si>
  <si>
    <t>Estimated Arithmetic Mean - MVUE</t>
  </si>
  <si>
    <t>95th Percentile</t>
  </si>
  <si>
    <t>NORMAL PARAMETRIC STATISTICS</t>
  </si>
  <si>
    <t>Mean</t>
  </si>
  <si>
    <t>95th Percentile - Z</t>
  </si>
  <si>
    <t>SUM</t>
  </si>
  <si>
    <t>Least Squares Raw Data</t>
  </si>
  <si>
    <t>New Plot Point Attempt</t>
  </si>
  <si>
    <t>Slope</t>
  </si>
  <si>
    <t>Y</t>
  </si>
  <si>
    <t>Y Intercept</t>
  </si>
  <si>
    <t>Scale intercept</t>
  </si>
  <si>
    <t>Lowest Value</t>
  </si>
  <si>
    <t>Plot Points</t>
  </si>
  <si>
    <t>these are low and high probits for Y</t>
  </si>
  <si>
    <t>Find Max nearest multiple of 10 for log-prob plot Y axis</t>
  </si>
  <si>
    <t>Ranked Data for Better Plot</t>
  </si>
  <si>
    <t>Data for plot</t>
  </si>
  <si>
    <t>Determine Y cross Point</t>
  </si>
  <si>
    <t>No.</t>
  </si>
  <si>
    <t>Plot Data</t>
  </si>
  <si>
    <t>Z Value</t>
  </si>
  <si>
    <t>Ni</t>
  </si>
  <si>
    <t>Xi (Ranked)</t>
  </si>
  <si>
    <t>Plotting Position</t>
  </si>
  <si>
    <t>Data Rank</t>
  </si>
  <si>
    <t>Least Squares LN(Data)</t>
  </si>
  <si>
    <t>LN(X)</t>
  </si>
  <si>
    <t>X1=</t>
  </si>
  <si>
    <t>X2=</t>
  </si>
  <si>
    <t>PEP</t>
  </si>
  <si>
    <t>UTL - Lognormal</t>
  </si>
  <si>
    <t>UTL - Normal</t>
  </si>
  <si>
    <t>Calculate MVUE</t>
  </si>
  <si>
    <t>Check calc</t>
  </si>
  <si>
    <t>Z (95%)</t>
  </si>
  <si>
    <t>n</t>
  </si>
  <si>
    <t>Mean Ln(Data)</t>
  </si>
  <si>
    <t>G</t>
  </si>
  <si>
    <t>Mean (ln x)</t>
  </si>
  <si>
    <t>SD Ln(Data)</t>
  </si>
  <si>
    <t>A</t>
  </si>
  <si>
    <t>SD (ln x)</t>
  </si>
  <si>
    <t>SD</t>
  </si>
  <si>
    <t>B</t>
  </si>
  <si>
    <t>K</t>
  </si>
  <si>
    <t>SD^2/2</t>
  </si>
  <si>
    <t>C</t>
  </si>
  <si>
    <t>UTL=</t>
  </si>
  <si>
    <t>term 1</t>
  </si>
  <si>
    <t>B^2</t>
  </si>
  <si>
    <t>term 2</t>
  </si>
  <si>
    <t>4AC</t>
  </si>
  <si>
    <t>term 3</t>
  </si>
  <si>
    <t>SQRT(B^2-4AC)</t>
  </si>
  <si>
    <t>term 4</t>
  </si>
  <si>
    <t>2A</t>
  </si>
  <si>
    <t>term 5</t>
  </si>
  <si>
    <t>U (UCL95%)</t>
  </si>
  <si>
    <t>term 6</t>
  </si>
  <si>
    <t>PEP (UCL95%)</t>
  </si>
  <si>
    <t>K FACTOR TABLE</t>
  </si>
  <si>
    <t>sum</t>
  </si>
  <si>
    <t>K (95, 95)</t>
  </si>
  <si>
    <t>MVUE</t>
  </si>
  <si>
    <t>MLE</t>
  </si>
  <si>
    <t>u</t>
  </si>
  <si>
    <t>Plotting the lognormal distribution</t>
  </si>
  <si>
    <t>99%ile/100=</t>
  </si>
  <si>
    <t>GM Plot</t>
  </si>
  <si>
    <t>AM Plot</t>
  </si>
  <si>
    <t>95%ile Plot</t>
  </si>
  <si>
    <t>LCL Plot</t>
  </si>
  <si>
    <t>UCL Plot</t>
  </si>
  <si>
    <t>F(x)</t>
  </si>
  <si>
    <t>O</t>
  </si>
  <si>
    <t>Estimated Arithmetic Mean  - MLE (OLD)</t>
  </si>
  <si>
    <t>1,95%LCL LogNorm t</t>
  </si>
  <si>
    <t>1,95%UCL LogNorm t</t>
  </si>
  <si>
    <t>LAND's Exact 95% 1-Sided CI's  (HEWETT AND GAUSER 1997)</t>
  </si>
  <si>
    <t>s(ln x) =</t>
  </si>
  <si>
    <t>For C LCL</t>
  </si>
  <si>
    <t>For C UCL</t>
  </si>
  <si>
    <t>s(ln x) to use=</t>
  </si>
  <si>
    <t>a</t>
  </si>
  <si>
    <t>n=</t>
  </si>
  <si>
    <t>b</t>
  </si>
  <si>
    <t>LCL %ile=</t>
  </si>
  <si>
    <t>c</t>
  </si>
  <si>
    <t>UCL %ile=</t>
  </si>
  <si>
    <t>d</t>
  </si>
  <si>
    <t xml:space="preserve"> MLE=</t>
  </si>
  <si>
    <t>Should be MLE with n, not n-1</t>
  </si>
  <si>
    <t>e</t>
  </si>
  <si>
    <t>S' =</t>
  </si>
  <si>
    <t xml:space="preserve">f </t>
  </si>
  <si>
    <t>C, LCL=</t>
  </si>
  <si>
    <t>g</t>
  </si>
  <si>
    <t>C, UCL=</t>
  </si>
  <si>
    <t>h</t>
  </si>
  <si>
    <t>LCL=</t>
  </si>
  <si>
    <t>I</t>
  </si>
  <si>
    <t>UCL=</t>
  </si>
  <si>
    <t>Now it seems to be working with Hewett new equation and coefficients</t>
  </si>
  <si>
    <t>F1</t>
  </si>
  <si>
    <t>F2</t>
  </si>
  <si>
    <t>C, UCL</t>
  </si>
  <si>
    <t>C, LCL</t>
  </si>
  <si>
    <t>F3</t>
  </si>
  <si>
    <t>0 to 2</t>
  </si>
  <si>
    <t>NA</t>
  </si>
  <si>
    <t>F4</t>
  </si>
  <si>
    <t>3 to 1001</t>
  </si>
  <si>
    <t>F5</t>
  </si>
  <si>
    <t>OLD HEWETT LAND METHOD COEFFICIENTS - NOT USED</t>
  </si>
  <si>
    <t>coefficients for C, 95% UCL</t>
  </si>
  <si>
    <t>Coefficients for Land's C, 95% LCL</t>
  </si>
  <si>
    <t>8 to 60</t>
  </si>
  <si>
    <t>6 to 60</t>
  </si>
  <si>
    <t>f</t>
  </si>
  <si>
    <t>i</t>
  </si>
  <si>
    <t>j</t>
  </si>
  <si>
    <t>Lookup rule for CL</t>
  </si>
  <si>
    <t>Coefficients for CL when n&gt;9</t>
  </si>
  <si>
    <t>LCL</t>
  </si>
  <si>
    <t>UCL</t>
  </si>
  <si>
    <t>Returns Coeff: n = 2 to 9</t>
  </si>
  <si>
    <t>z=</t>
  </si>
  <si>
    <t>Lookup</t>
  </si>
  <si>
    <t>"&lt;=3</t>
  </si>
  <si>
    <t>90% CI on Exceedence Estimate (Hewett from Odeh and Owen)</t>
  </si>
  <si>
    <t>&lt;0</t>
  </si>
  <si>
    <t>&lt;-6</t>
  </si>
  <si>
    <t>Calculated</t>
  </si>
  <si>
    <t>OEL=</t>
  </si>
  <si>
    <t>is LN OEL</t>
  </si>
  <si>
    <t>if CL&gt;0.999</t>
  </si>
  <si>
    <t>mean ln(x)=</t>
  </si>
  <si>
    <t>is GM</t>
  </si>
  <si>
    <t>if CL&lt;0.001</t>
  </si>
  <si>
    <t>sd ln(x)=</t>
  </si>
  <si>
    <t>is GSD</t>
  </si>
  <si>
    <t>if Z&gt;3</t>
  </si>
  <si>
    <t>CL if n &gt; 9</t>
  </si>
  <si>
    <t>if Z&lt;-6</t>
  </si>
  <si>
    <t>"-z=</t>
  </si>
  <si>
    <t>CI:</t>
  </si>
  <si>
    <t xml:space="preserve">%&gt;OEL = </t>
  </si>
  <si>
    <t>n&lt;10</t>
  </si>
  <si>
    <t>n&gt;9</t>
  </si>
  <si>
    <t>90%LCL=</t>
  </si>
  <si>
    <t>90%UCL=</t>
  </si>
  <si>
    <t>Matrix for CL Coefficients when n&lt;10:</t>
  </si>
  <si>
    <t>k</t>
  </si>
  <si>
    <t>CL if n&gt;9</t>
  </si>
  <si>
    <t>l</t>
  </si>
  <si>
    <t>Coefficients for size n&gt;9</t>
  </si>
  <si>
    <t>z</t>
  </si>
  <si>
    <t>0 to 3</t>
  </si>
  <si>
    <t>"-6 to &lt;0</t>
  </si>
  <si>
    <t>" &lt;  -6</t>
  </si>
  <si>
    <t>lookup</t>
  </si>
  <si>
    <t xml:space="preserve">l </t>
  </si>
  <si>
    <t>Hewett's Land's Exact Calculator</t>
  </si>
  <si>
    <t>Estimation of the</t>
  </si>
  <si>
    <t>95% LCL C-factor</t>
  </si>
  <si>
    <t>95% UCL C-factor</t>
  </si>
  <si>
    <t>GM =</t>
  </si>
  <si>
    <t>range:&gt;0.0</t>
  </si>
  <si>
    <t>GSD =</t>
  </si>
  <si>
    <t>range: 1.01-54.5</t>
  </si>
  <si>
    <t>n =</t>
  </si>
  <si>
    <t>range: 3 - 1001</t>
  </si>
  <si>
    <t>D</t>
  </si>
  <si>
    <t>95%LCL =</t>
  </si>
  <si>
    <t>E</t>
  </si>
  <si>
    <t>95%UCL =</t>
  </si>
  <si>
    <t>F</t>
  </si>
  <si>
    <t>H</t>
  </si>
  <si>
    <t>PDC data:</t>
  </si>
  <si>
    <t>gm =</t>
  </si>
  <si>
    <t>gsd =</t>
  </si>
  <si>
    <t>C-factor</t>
  </si>
  <si>
    <t xml:space="preserve">John, plug in the above numbers and you should get </t>
  </si>
  <si>
    <t xml:space="preserve">( 155.8902 - 4980.5367 ) as the 90% CI.  </t>
  </si>
  <si>
    <t>W Test Table</t>
  </si>
  <si>
    <t>W Percentage Table</t>
  </si>
  <si>
    <t>W alpha</t>
  </si>
  <si>
    <t>W Test Calculated</t>
  </si>
  <si>
    <t>d=</t>
  </si>
  <si>
    <t>k=</t>
  </si>
  <si>
    <t>Acecpt Normal or Lognormal?</t>
  </si>
  <si>
    <t>w=</t>
  </si>
  <si>
    <t>W (LN DATA)=</t>
  </si>
  <si>
    <t>ai</t>
  </si>
  <si>
    <t>xn-i+1</t>
  </si>
  <si>
    <t>xi</t>
  </si>
  <si>
    <t>ai(xn-i+1-xi)</t>
  </si>
  <si>
    <t>LN(xn-i+1)</t>
  </si>
  <si>
    <t>LN(xi)</t>
  </si>
  <si>
    <t>ai(LNxn-i+1-LN(xi)</t>
  </si>
  <si>
    <t>SUM =</t>
  </si>
  <si>
    <t>SUM=</t>
  </si>
  <si>
    <t>(max n = 50)</t>
  </si>
  <si>
    <t>Number of samples (n)</t>
  </si>
  <si>
    <t>Standard deviation (s)</t>
  </si>
  <si>
    <t>Geometric mean (GM)</t>
  </si>
  <si>
    <t>Geometric standard deviation (GSD)</t>
  </si>
  <si>
    <t>Lognormal (a = 0.05)?</t>
  </si>
  <si>
    <t>W-test of data</t>
  </si>
  <si>
    <t>Normal (a = 0.05)?</t>
  </si>
  <si>
    <r>
      <t>LCL</t>
    </r>
    <r>
      <rPr>
        <vertAlign val="subscript"/>
        <sz val="10"/>
        <rFont val="Geneva"/>
        <family val="0"/>
      </rPr>
      <t>1,95%</t>
    </r>
    <r>
      <rPr>
        <sz val="10"/>
        <rFont val="Geneva"/>
        <family val="0"/>
      </rPr>
      <t xml:space="preserve"> - t statistics</t>
    </r>
  </si>
  <si>
    <r>
      <t>UCL</t>
    </r>
    <r>
      <rPr>
        <vertAlign val="subscript"/>
        <sz val="10"/>
        <rFont val="Geneva"/>
        <family val="0"/>
      </rPr>
      <t>1,95%</t>
    </r>
    <r>
      <rPr>
        <sz val="10"/>
        <rFont val="Geneva"/>
        <family val="0"/>
      </rPr>
      <t xml:space="preserve"> - t statistics</t>
    </r>
  </si>
  <si>
    <r>
      <t>UTL</t>
    </r>
    <r>
      <rPr>
        <vertAlign val="subscript"/>
        <sz val="10"/>
        <rFont val="Geneva"/>
        <family val="0"/>
      </rPr>
      <t>95%,95%</t>
    </r>
  </si>
  <si>
    <r>
      <t>LCL</t>
    </r>
    <r>
      <rPr>
        <vertAlign val="subscript"/>
        <sz val="10"/>
        <rFont val="Geneva"/>
        <family val="0"/>
      </rPr>
      <t xml:space="preserve">1,95% </t>
    </r>
    <r>
      <rPr>
        <sz val="10"/>
        <rFont val="Geneva"/>
        <family val="0"/>
      </rPr>
      <t>%&gt;OEL</t>
    </r>
  </si>
  <si>
    <r>
      <t>UCL</t>
    </r>
    <r>
      <rPr>
        <vertAlign val="subscript"/>
        <sz val="10"/>
        <rFont val="Geneva"/>
        <family val="0"/>
      </rPr>
      <t>1,95%</t>
    </r>
    <r>
      <rPr>
        <sz val="10"/>
        <rFont val="Geneva"/>
        <family val="0"/>
      </rPr>
      <t xml:space="preserve"> %&gt;OEL</t>
    </r>
  </si>
  <si>
    <r>
      <t>LCL</t>
    </r>
    <r>
      <rPr>
        <vertAlign val="subscript"/>
        <sz val="10"/>
        <rFont val="Geneva"/>
        <family val="0"/>
      </rPr>
      <t>1,95%</t>
    </r>
    <r>
      <rPr>
        <sz val="10"/>
        <rFont val="Geneva"/>
        <family val="0"/>
      </rPr>
      <t xml:space="preserve"> - Land's "Exact"</t>
    </r>
  </si>
  <si>
    <r>
      <t>UCL</t>
    </r>
    <r>
      <rPr>
        <vertAlign val="subscript"/>
        <sz val="10"/>
        <rFont val="Geneva"/>
        <family val="0"/>
      </rPr>
      <t>1,95%</t>
    </r>
    <r>
      <rPr>
        <sz val="10"/>
        <rFont val="Geneva"/>
        <family val="0"/>
      </rPr>
      <t xml:space="preserve"> - Land's "Exact"</t>
    </r>
  </si>
  <si>
    <t>Mean of logtransformed data (LN)</t>
  </si>
  <si>
    <t>Std. deviation of logtransformed data (LN)</t>
  </si>
  <si>
    <t>W-test of logtransformed data (LN)</t>
  </si>
  <si>
    <t>Maximum (max)</t>
  </si>
  <si>
    <r>
      <t>IHSTAT</t>
    </r>
    <r>
      <rPr>
        <b/>
        <vertAlign val="superscript"/>
        <sz val="12"/>
        <color indexed="10"/>
        <rFont val="Geneva"/>
        <family val="0"/>
      </rPr>
      <t>TM</t>
    </r>
    <r>
      <rPr>
        <b/>
        <sz val="12"/>
        <color indexed="10"/>
        <rFont val="Geneva"/>
        <family val="0"/>
      </rPr>
      <t xml:space="preserve"> (Industrial Hygiene Statistics)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</si>
</sst>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00000000000000"/>
    <numFmt numFmtId="167" formatCode="0.000000000000"/>
    <numFmt numFmtId="168" formatCode="0.0000000000"/>
    <numFmt numFmtId="169" formatCode="0.00000000000"/>
    <numFmt numFmtId="170" formatCode="0.00000000"/>
  </numFmts>
  <fonts count="56">
    <font>
      <sz val="10"/>
      <name val="Geneva"/>
      <family val="0"/>
    </font>
    <font>
      <b/>
      <sz val="10"/>
      <name val="Geneva"/>
      <family val="0"/>
    </font>
    <font>
      <i/>
      <sz val="10"/>
      <name val="Geneva"/>
      <family val="0"/>
    </font>
    <font>
      <b/>
      <i/>
      <sz val="10"/>
      <name val="Geneva"/>
      <family val="0"/>
    </font>
    <font>
      <b/>
      <sz val="12"/>
      <color indexed="10"/>
      <name val="Geneva"/>
      <family val="0"/>
    </font>
    <font>
      <sz val="12"/>
      <name val="Tms Rmn"/>
      <family val="0"/>
    </font>
    <font>
      <b/>
      <sz val="10"/>
      <name val="Arial"/>
      <family val="2"/>
    </font>
    <font>
      <sz val="10"/>
      <color indexed="10"/>
      <name val="Arial"/>
      <family val="2"/>
    </font>
    <font>
      <b/>
      <sz val="10"/>
      <color indexed="10"/>
      <name val="Arial"/>
      <family val="2"/>
    </font>
    <font>
      <sz val="10"/>
      <color indexed="10"/>
      <name val="Geneva"/>
      <family val="0"/>
    </font>
    <font>
      <b/>
      <sz val="10"/>
      <color indexed="39"/>
      <name val="Geneva"/>
      <family val="0"/>
    </font>
    <font>
      <sz val="10"/>
      <color indexed="39"/>
      <name val="Geneva"/>
      <family val="0"/>
    </font>
    <font>
      <sz val="10"/>
      <color indexed="8"/>
      <name val="Geneva"/>
      <family val="0"/>
    </font>
    <font>
      <sz val="8"/>
      <name val="Geneva"/>
      <family val="0"/>
    </font>
    <font>
      <vertAlign val="subscript"/>
      <sz val="10"/>
      <name val="Genev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vertAlign val="superscript"/>
      <sz val="12"/>
      <color indexed="10"/>
      <name val="Geneva"/>
      <family val="0"/>
    </font>
    <font>
      <b/>
      <sz val="10"/>
      <color indexed="8"/>
      <name val="Geneva"/>
      <family val="0"/>
    </font>
    <font>
      <b/>
      <sz val="12"/>
      <color indexed="8"/>
      <name val="Geneva"/>
      <family val="0"/>
    </font>
    <font>
      <sz val="8"/>
      <color indexed="8"/>
      <name val="Arial"/>
      <family val="2"/>
    </font>
    <font>
      <b/>
      <sz val="8"/>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Down">
        <fgColor indexed="13"/>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style="thick">
        <color indexed="10"/>
      </right>
      <top>
        <color indexed="63"/>
      </top>
      <bottom style="thick">
        <color indexed="10"/>
      </bottom>
    </border>
    <border>
      <left style="thick">
        <color indexed="10"/>
      </left>
      <right style="thick">
        <color indexed="10"/>
      </right>
      <top>
        <color indexed="63"/>
      </top>
      <bottom>
        <color indexed="63"/>
      </bottom>
    </border>
    <border>
      <left style="thick"/>
      <right style="thick"/>
      <top>
        <color indexed="63"/>
      </top>
      <bottom>
        <color indexed="63"/>
      </bottom>
    </border>
    <border>
      <left style="thick"/>
      <right style="thick"/>
      <top style="thick"/>
      <bottom>
        <color indexed="63"/>
      </bottom>
    </border>
    <border>
      <left style="thick"/>
      <right style="thick"/>
      <top>
        <color indexed="63"/>
      </top>
      <bottom style="thick"/>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ck">
        <color indexed="10"/>
      </left>
      <right style="thick">
        <color indexed="10"/>
      </right>
      <top style="thick">
        <color indexed="10"/>
      </top>
      <bottom>
        <color indexed="63"/>
      </bottom>
    </border>
    <border>
      <left style="thick">
        <color indexed="10"/>
      </left>
      <right style="thick">
        <color indexed="10"/>
      </right>
      <top style="thick">
        <color indexed="10"/>
      </top>
      <bottom style="thin"/>
    </border>
    <border>
      <left>
        <color indexed="63"/>
      </left>
      <right>
        <color indexed="63"/>
      </right>
      <top style="thin"/>
      <bottom style="thin"/>
    </border>
    <border>
      <left style="thick">
        <color indexed="10"/>
      </left>
      <right style="thick">
        <color indexed="10"/>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7">
    <xf numFmtId="0" fontId="0" fillId="0" borderId="0" xfId="0" applyAlignment="1">
      <alignment/>
    </xf>
    <xf numFmtId="2" fontId="0" fillId="0" borderId="0" xfId="0" applyNumberFormat="1" applyAlignment="1">
      <alignment/>
    </xf>
    <xf numFmtId="0" fontId="1" fillId="0" borderId="0" xfId="0" applyFont="1" applyAlignment="1">
      <alignment/>
    </xf>
    <xf numFmtId="0" fontId="0" fillId="0" borderId="0" xfId="0" applyFont="1" applyAlignment="1">
      <alignment/>
    </xf>
    <xf numFmtId="0" fontId="0" fillId="0" borderId="0" xfId="0" applyAlignment="1">
      <alignment/>
    </xf>
    <xf numFmtId="1" fontId="0" fillId="0" borderId="0" xfId="0" applyNumberFormat="1" applyAlignment="1">
      <alignment/>
    </xf>
    <xf numFmtId="2"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1" fillId="0" borderId="0" xfId="0" applyFont="1" applyAlignment="1">
      <alignment horizontal="left"/>
    </xf>
    <xf numFmtId="164" fontId="0" fillId="0" borderId="0" xfId="0" applyNumberFormat="1" applyAlignment="1">
      <alignment horizontal="left"/>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64" fontId="6" fillId="0" borderId="0" xfId="0" applyNumberFormat="1" applyFont="1" applyAlignment="1">
      <alignment/>
    </xf>
    <xf numFmtId="164" fontId="0" fillId="0" borderId="0" xfId="0" applyNumberFormat="1" applyAlignment="1">
      <alignment/>
    </xf>
    <xf numFmtId="0" fontId="1"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4" fillId="0" borderId="0" xfId="0" applyFont="1" applyAlignment="1">
      <alignment horizontal="left"/>
    </xf>
    <xf numFmtId="165" fontId="0" fillId="0" borderId="0" xfId="0" applyNumberFormat="1" applyAlignment="1">
      <alignment/>
    </xf>
    <xf numFmtId="167" fontId="6" fillId="0" borderId="0" xfId="0" applyNumberFormat="1" applyFont="1" applyAlignment="1">
      <alignment/>
    </xf>
    <xf numFmtId="169" fontId="6" fillId="0" borderId="0" xfId="0" applyNumberFormat="1" applyFont="1" applyAlignment="1">
      <alignment/>
    </xf>
    <xf numFmtId="168" fontId="6" fillId="33" borderId="12" xfId="0" applyNumberFormat="1" applyFont="1" applyFill="1" applyBorder="1" applyAlignment="1">
      <alignment/>
    </xf>
    <xf numFmtId="168" fontId="6" fillId="33" borderId="13" xfId="0" applyNumberFormat="1" applyFont="1" applyFill="1" applyBorder="1" applyAlignment="1">
      <alignment/>
    </xf>
    <xf numFmtId="164" fontId="6" fillId="33" borderId="14" xfId="0" applyNumberFormat="1" applyFont="1" applyFill="1" applyBorder="1" applyAlignment="1">
      <alignment/>
    </xf>
    <xf numFmtId="0" fontId="9" fillId="0" borderId="0" xfId="0" applyFont="1" applyAlignment="1">
      <alignment/>
    </xf>
    <xf numFmtId="0" fontId="10" fillId="0" borderId="0" xfId="0" applyFont="1" applyFill="1" applyAlignment="1">
      <alignment/>
    </xf>
    <xf numFmtId="0" fontId="11" fillId="0" borderId="0" xfId="0" applyFont="1" applyFill="1" applyAlignment="1">
      <alignment/>
    </xf>
    <xf numFmtId="0" fontId="12" fillId="34" borderId="15" xfId="0" applyFont="1" applyFill="1" applyBorder="1" applyAlignment="1">
      <alignment/>
    </xf>
    <xf numFmtId="0" fontId="12" fillId="34" borderId="16" xfId="0" applyFont="1" applyFill="1" applyBorder="1" applyAlignment="1">
      <alignment/>
    </xf>
    <xf numFmtId="164" fontId="12" fillId="34" borderId="17" xfId="0" applyNumberFormat="1" applyFont="1" applyFill="1" applyBorder="1" applyAlignment="1">
      <alignment/>
    </xf>
    <xf numFmtId="0" fontId="12" fillId="34" borderId="17" xfId="0" applyFont="1" applyFill="1" applyBorder="1" applyAlignment="1">
      <alignment/>
    </xf>
    <xf numFmtId="0" fontId="12" fillId="34" borderId="18" xfId="0" applyFont="1" applyFill="1" applyBorder="1" applyAlignment="1">
      <alignment/>
    </xf>
    <xf numFmtId="0" fontId="12" fillId="34" borderId="19" xfId="0" applyFont="1" applyFill="1" applyBorder="1" applyAlignment="1">
      <alignment/>
    </xf>
    <xf numFmtId="0" fontId="0" fillId="34" borderId="20" xfId="0" applyFill="1" applyBorder="1" applyAlignment="1">
      <alignment/>
    </xf>
    <xf numFmtId="0" fontId="0" fillId="35" borderId="15" xfId="0" applyFill="1" applyBorder="1" applyAlignment="1">
      <alignment/>
    </xf>
    <xf numFmtId="0" fontId="0" fillId="35" borderId="21" xfId="0" applyFill="1" applyBorder="1" applyAlignment="1">
      <alignment/>
    </xf>
    <xf numFmtId="0" fontId="0" fillId="35" borderId="20" xfId="0" applyFill="1" applyBorder="1" applyAlignment="1">
      <alignment/>
    </xf>
    <xf numFmtId="0" fontId="0" fillId="35" borderId="16"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22" xfId="0" applyFill="1" applyBorder="1" applyAlignment="1">
      <alignment/>
    </xf>
    <xf numFmtId="0" fontId="0" fillId="35" borderId="19" xfId="0" applyFill="1" applyBorder="1" applyAlignment="1">
      <alignment/>
    </xf>
    <xf numFmtId="0" fontId="0" fillId="35" borderId="16" xfId="0" applyFill="1" applyBorder="1" applyAlignment="1">
      <alignment horizontal="left"/>
    </xf>
    <xf numFmtId="0" fontId="0" fillId="35" borderId="18" xfId="0" applyFill="1" applyBorder="1" applyAlignment="1">
      <alignment horizontal="left"/>
    </xf>
    <xf numFmtId="0" fontId="0" fillId="35" borderId="22" xfId="0" applyFill="1" applyBorder="1" applyAlignment="1">
      <alignment/>
    </xf>
    <xf numFmtId="0" fontId="0" fillId="35" borderId="19" xfId="0" applyFill="1" applyBorder="1" applyAlignment="1">
      <alignment/>
    </xf>
    <xf numFmtId="0" fontId="12" fillId="34" borderId="0" xfId="0" applyFont="1" applyFill="1" applyBorder="1" applyAlignment="1">
      <alignment/>
    </xf>
    <xf numFmtId="0" fontId="12" fillId="34" borderId="22" xfId="0" applyFont="1" applyFill="1" applyBorder="1" applyAlignment="1">
      <alignment/>
    </xf>
    <xf numFmtId="0" fontId="0" fillId="36" borderId="15" xfId="0" applyFill="1" applyBorder="1" applyAlignment="1">
      <alignment/>
    </xf>
    <xf numFmtId="0" fontId="0" fillId="36" borderId="21" xfId="0" applyFill="1" applyBorder="1" applyAlignment="1">
      <alignment/>
    </xf>
    <xf numFmtId="0" fontId="0" fillId="36" borderId="20" xfId="0" applyFill="1" applyBorder="1" applyAlignment="1">
      <alignment/>
    </xf>
    <xf numFmtId="0" fontId="0" fillId="36" borderId="16" xfId="0" applyFill="1" applyBorder="1" applyAlignment="1">
      <alignment/>
    </xf>
    <xf numFmtId="0" fontId="0" fillId="36" borderId="0" xfId="0" applyFill="1" applyBorder="1" applyAlignment="1">
      <alignment/>
    </xf>
    <xf numFmtId="0" fontId="0" fillId="36" borderId="17" xfId="0" applyFill="1" applyBorder="1" applyAlignment="1">
      <alignment/>
    </xf>
    <xf numFmtId="0" fontId="9" fillId="36" borderId="18" xfId="0" applyFont="1" applyFill="1" applyBorder="1" applyAlignment="1">
      <alignment/>
    </xf>
    <xf numFmtId="0" fontId="9" fillId="36" borderId="22" xfId="0" applyFont="1" applyFill="1" applyBorder="1" applyAlignment="1">
      <alignment/>
    </xf>
    <xf numFmtId="0" fontId="9" fillId="36" borderId="19" xfId="0" applyFont="1" applyFill="1" applyBorder="1" applyAlignment="1">
      <alignment/>
    </xf>
    <xf numFmtId="0" fontId="0" fillId="36" borderId="16" xfId="0" applyFill="1" applyBorder="1" applyAlignment="1" quotePrefix="1">
      <alignment/>
    </xf>
    <xf numFmtId="0" fontId="0" fillId="36" borderId="18" xfId="0" applyFill="1" applyBorder="1" applyAlignment="1">
      <alignment/>
    </xf>
    <xf numFmtId="0" fontId="0" fillId="36" borderId="22" xfId="0" applyFill="1" applyBorder="1" applyAlignment="1">
      <alignment/>
    </xf>
    <xf numFmtId="0" fontId="0" fillId="36" borderId="19" xfId="0" applyFill="1" applyBorder="1" applyAlignment="1">
      <alignment/>
    </xf>
    <xf numFmtId="0" fontId="0" fillId="0" borderId="0" xfId="0" applyNumberFormat="1" applyAlignment="1">
      <alignment/>
    </xf>
    <xf numFmtId="0" fontId="0" fillId="0" borderId="23" xfId="0" applyBorder="1" applyAlignment="1">
      <alignment horizontal="center"/>
    </xf>
    <xf numFmtId="164" fontId="0" fillId="0" borderId="23" xfId="0" applyNumberFormat="1" applyFont="1" applyBorder="1" applyAlignment="1">
      <alignment/>
    </xf>
    <xf numFmtId="164" fontId="0" fillId="0" borderId="23" xfId="0" applyNumberFormat="1" applyBorder="1" applyAlignment="1">
      <alignment/>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xf>
    <xf numFmtId="164" fontId="0" fillId="0" borderId="0" xfId="0" applyNumberFormat="1" applyBorder="1" applyAlignment="1">
      <alignment/>
    </xf>
    <xf numFmtId="0" fontId="0" fillId="0" borderId="0" xfId="0" applyBorder="1" applyAlignment="1">
      <alignment horizontal="center"/>
    </xf>
    <xf numFmtId="164" fontId="0" fillId="0" borderId="0" xfId="0" applyNumberFormat="1" applyBorder="1" applyAlignment="1">
      <alignment/>
    </xf>
    <xf numFmtId="164" fontId="0" fillId="0" borderId="0" xfId="0" applyNumberFormat="1" applyFont="1" applyBorder="1" applyAlignment="1">
      <alignment/>
    </xf>
    <xf numFmtId="0" fontId="1" fillId="37" borderId="0" xfId="0" applyFont="1" applyFill="1" applyAlignment="1">
      <alignment horizontal="left"/>
    </xf>
    <xf numFmtId="0" fontId="0" fillId="37" borderId="0" xfId="0" applyFill="1" applyAlignment="1">
      <alignment/>
    </xf>
    <xf numFmtId="0" fontId="1" fillId="37" borderId="0" xfId="0" applyFont="1" applyFill="1" applyAlignment="1">
      <alignment/>
    </xf>
    <xf numFmtId="0" fontId="1" fillId="37" borderId="0" xfId="0" applyFont="1" applyFill="1" applyBorder="1" applyAlignment="1">
      <alignment horizontal="left"/>
    </xf>
    <xf numFmtId="0" fontId="0" fillId="37" borderId="0" xfId="0" applyFill="1" applyBorder="1" applyAlignment="1">
      <alignment/>
    </xf>
    <xf numFmtId="164" fontId="0" fillId="37" borderId="0" xfId="0" applyNumberFormat="1" applyFill="1" applyBorder="1" applyAlignment="1">
      <alignment/>
    </xf>
    <xf numFmtId="164" fontId="0" fillId="0" borderId="0" xfId="0" applyNumberFormat="1" applyFont="1" applyBorder="1" applyAlignment="1">
      <alignment horizontal="right"/>
    </xf>
    <xf numFmtId="164" fontId="0" fillId="0" borderId="0" xfId="0" applyNumberFormat="1" applyBorder="1" applyAlignment="1">
      <alignment horizontal="right"/>
    </xf>
    <xf numFmtId="164" fontId="0" fillId="0" borderId="23" xfId="0" applyNumberFormat="1" applyFont="1" applyBorder="1" applyAlignment="1">
      <alignment horizontal="right"/>
    </xf>
    <xf numFmtId="0" fontId="6" fillId="0" borderId="22" xfId="0" applyFont="1" applyBorder="1" applyAlignment="1">
      <alignment/>
    </xf>
    <xf numFmtId="0" fontId="0" fillId="0" borderId="22" xfId="0" applyBorder="1" applyAlignment="1">
      <alignment/>
    </xf>
    <xf numFmtId="0" fontId="8" fillId="35" borderId="24" xfId="0" applyFont="1" applyFill="1" applyBorder="1" applyAlignment="1">
      <alignment/>
    </xf>
    <xf numFmtId="0" fontId="0" fillId="35" borderId="24" xfId="0" applyFill="1" applyBorder="1" applyAlignment="1">
      <alignment/>
    </xf>
    <xf numFmtId="0" fontId="0" fillId="0" borderId="0" xfId="0" applyFont="1" applyBorder="1" applyAlignment="1">
      <alignment horizontal="right"/>
    </xf>
    <xf numFmtId="0" fontId="0" fillId="0" borderId="0" xfId="0" applyBorder="1" applyAlignment="1">
      <alignment horizontal="right"/>
    </xf>
    <xf numFmtId="0" fontId="0" fillId="0" borderId="23" xfId="0" applyBorder="1" applyAlignment="1">
      <alignment horizontal="right"/>
    </xf>
    <xf numFmtId="0" fontId="1" fillId="37" borderId="25" xfId="0" applyFont="1" applyFill="1" applyBorder="1" applyAlignment="1">
      <alignment horizontal="center"/>
    </xf>
    <xf numFmtId="0" fontId="0" fillId="37" borderId="11" xfId="0" applyFill="1" applyBorder="1" applyAlignment="1">
      <alignment horizontal="center"/>
    </xf>
    <xf numFmtId="0" fontId="1" fillId="37" borderId="26" xfId="0" applyFont="1" applyFill="1" applyBorder="1" applyAlignment="1">
      <alignment horizontal="center"/>
    </xf>
    <xf numFmtId="2" fontId="0" fillId="0" borderId="23" xfId="0" applyNumberFormat="1" applyBorder="1" applyAlignment="1">
      <alignment/>
    </xf>
    <xf numFmtId="0" fontId="1" fillId="0" borderId="27" xfId="0" applyFont="1" applyBorder="1" applyAlignment="1">
      <alignment horizontal="left"/>
    </xf>
    <xf numFmtId="164" fontId="0" fillId="0" borderId="27" xfId="0" applyNumberFormat="1" applyBorder="1" applyAlignment="1">
      <alignment/>
    </xf>
    <xf numFmtId="170" fontId="0" fillId="0" borderId="0" xfId="0" applyNumberFormat="1" applyAlignment="1">
      <alignment/>
    </xf>
    <xf numFmtId="0" fontId="12" fillId="34" borderId="21" xfId="0" applyFont="1" applyFill="1" applyBorder="1" applyAlignment="1">
      <alignment horizontal="right"/>
    </xf>
    <xf numFmtId="0" fontId="12" fillId="34" borderId="20" xfId="0" applyFont="1" applyFill="1" applyBorder="1" applyAlignment="1">
      <alignment horizontal="right"/>
    </xf>
    <xf numFmtId="0" fontId="12" fillId="34" borderId="16" xfId="0" applyFont="1" applyFill="1" applyBorder="1" applyAlignment="1">
      <alignment horizontal="right"/>
    </xf>
    <xf numFmtId="0" fontId="12" fillId="34" borderId="18" xfId="0" applyFont="1" applyFill="1" applyBorder="1" applyAlignment="1">
      <alignment horizontal="right"/>
    </xf>
    <xf numFmtId="0" fontId="13" fillId="37" borderId="11" xfId="0" applyFont="1" applyFill="1" applyBorder="1" applyAlignment="1">
      <alignment horizontal="center"/>
    </xf>
    <xf numFmtId="0" fontId="13" fillId="37" borderId="2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Linear Probability Plot and
Least-Squares Best-Fit Line</a:t>
            </a:r>
          </a:p>
        </c:rich>
      </c:tx>
      <c:layout>
        <c:manualLayout>
          <c:xMode val="factor"/>
          <c:yMode val="factor"/>
          <c:x val="0.00325"/>
          <c:y val="-0.002"/>
        </c:manualLayout>
      </c:layout>
      <c:spPr>
        <a:noFill/>
        <a:ln>
          <a:noFill/>
        </a:ln>
      </c:spPr>
    </c:title>
    <c:plotArea>
      <c:layout>
        <c:manualLayout>
          <c:xMode val="edge"/>
          <c:yMode val="edge"/>
          <c:x val="0"/>
          <c:y val="0.164"/>
          <c:w val="0.8715"/>
          <c:h val="0.831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dLbls>
            <c:dLbl>
              <c:idx val="0"/>
              <c:tx>
                <c:rich>
                  <a:bodyPr vert="horz" rot="0" anchor="ctr"/>
                  <a:lstStyle/>
                  <a:p>
                    <a:pPr algn="ctr">
                      <a:defRPr/>
                    </a:pPr>
                    <a:r>
                      <a:rPr lang="en-US" cap="none" sz="1000" b="0" i="0" u="none" baseline="0">
                        <a:solidFill>
                          <a:srgbClr val="000000"/>
                        </a:solidFill>
                        <a:latin typeface="Geneva"/>
                        <a:ea typeface="Geneva"/>
                        <a:cs typeface="Geneva"/>
                      </a:rPr>
                      <a:t>99%</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Geneva"/>
                        <a:ea typeface="Geneva"/>
                        <a:cs typeface="Geneva"/>
                      </a:rPr>
                      <a:t>98%</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Geneva"/>
                        <a:ea typeface="Geneva"/>
                        <a:cs typeface="Geneva"/>
                      </a:rPr>
                      <a:t>95%</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Geneva"/>
                        <a:ea typeface="Geneva"/>
                        <a:cs typeface="Geneva"/>
                      </a:rPr>
                      <a:t>90%</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Geneva"/>
                        <a:ea typeface="Geneva"/>
                        <a:cs typeface="Geneva"/>
                      </a:rPr>
                      <a:t>84%</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Geneva"/>
                        <a:ea typeface="Geneva"/>
                        <a:cs typeface="Geneva"/>
                      </a:rPr>
                      <a:t>75%</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Geneva"/>
                        <a:ea typeface="Geneva"/>
                        <a:cs typeface="Geneva"/>
                      </a:rPr>
                      <a:t>50%</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Geneva"/>
                        <a:ea typeface="Geneva"/>
                        <a:cs typeface="Geneva"/>
                      </a:rPr>
                      <a:t>25%</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Geneva"/>
                        <a:ea typeface="Geneva"/>
                        <a:cs typeface="Geneva"/>
                      </a:rPr>
                      <a:t>16%</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Geneva"/>
                        <a:ea typeface="Geneva"/>
                        <a:cs typeface="Geneva"/>
                      </a:rPr>
                      <a:t>10%</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Geneva"/>
                        <a:ea typeface="Geneva"/>
                        <a:cs typeface="Geneva"/>
                      </a:rPr>
                      <a:t>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Geneva"/>
                        <a:ea typeface="Geneva"/>
                        <a:cs typeface="Geneva"/>
                      </a:rPr>
                      <a:t>2%</a:t>
                    </a:r>
                  </a:p>
                </c:rich>
              </c:tx>
              <c:numFmt formatCode="General" sourceLinked="1"/>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Geneva"/>
                        <a:ea typeface="Geneva"/>
                        <a:cs typeface="Geneva"/>
                      </a:rPr>
                      <a:t>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IHSTATS8!$F$8:$F$20</c:f>
            </c:numRef>
          </c:xVal>
          <c:yVal>
            <c:numRef>
              <c:f>IHSTATS8!$G$8:$G$20</c:f>
            </c:numRef>
          </c:yVal>
          <c:smooth val="0"/>
        </c:ser>
        <c:ser>
          <c:idx val="2"/>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IHSTATS8!$W$108:$W$109</c:f>
            </c:numRef>
          </c:xVal>
          <c:yVal>
            <c:numRef>
              <c:f>IHSTATS8!$X$108:$X$109</c:f>
            </c:numRef>
          </c:yVal>
          <c:smooth val="0"/>
        </c:ser>
        <c:ser>
          <c:idx val="3"/>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000000"/>
                </a:solidFill>
              </a:ln>
            </c:spPr>
          </c:marker>
          <c:xVal>
            <c:numRef>
              <c:f>IHSTATS8!$N$113:$N$162</c:f>
            </c:numRef>
          </c:xVal>
          <c:yVal>
            <c:numRef>
              <c:f>IHSTATS8!$P$113:$P$162</c:f>
            </c:numRef>
          </c:yVal>
          <c:smooth val="0"/>
        </c:ser>
        <c:ser>
          <c:idx val="4"/>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000000"/>
                </a:solidFill>
              </a:ln>
            </c:spPr>
          </c:marker>
          <c:xVal>
            <c:numRef>
              <c:f>IHSTATS8!$N$113:$N$162</c:f>
            </c:numRef>
          </c:xVal>
          <c:yVal>
            <c:numRef>
              <c:f>IHSTATS8!$O$113:$O$162</c:f>
            </c:numRef>
          </c:yVal>
          <c:smooth val="0"/>
        </c:ser>
        <c:axId val="63451493"/>
        <c:axId val="34192526"/>
      </c:scatterChart>
      <c:valAx>
        <c:axId val="63451493"/>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Concentration</a:t>
                </a:r>
              </a:p>
            </c:rich>
          </c:tx>
          <c:layout>
            <c:manualLayout>
              <c:xMode val="factor"/>
              <c:yMode val="factor"/>
              <c:x val="0.0055"/>
              <c:y val="0.003"/>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cross"/>
        <c:tickLblPos val="nextTo"/>
        <c:spPr>
          <a:ln w="3175">
            <a:solidFill>
              <a:srgbClr val="000000"/>
            </a:solidFill>
          </a:ln>
        </c:spPr>
        <c:crossAx val="34192526"/>
        <c:crossesAt val="2.5"/>
        <c:crossBetween val="midCat"/>
        <c:dispUnits/>
      </c:valAx>
      <c:valAx>
        <c:axId val="34192526"/>
        <c:scaling>
          <c:orientation val="minMax"/>
          <c:min val="2.5"/>
        </c:scaling>
        <c:axPos val="l"/>
        <c:majorGridlines>
          <c:spPr>
            <a:ln w="3175">
              <a:solidFill>
                <a:srgbClr val="000000"/>
              </a:solidFill>
            </a:ln>
          </c:spPr>
        </c:majorGridlines>
        <c:delete val="0"/>
        <c:numFmt formatCode="General" sourceLinked="1"/>
        <c:majorTickMark val="cross"/>
        <c:minorTickMark val="cross"/>
        <c:tickLblPos val="none"/>
        <c:spPr>
          <a:ln w="3175">
            <a:solidFill>
              <a:srgbClr val="000000"/>
            </a:solidFill>
          </a:ln>
        </c:spPr>
        <c:crossAx val="63451493"/>
        <c:crosses val="max"/>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Logprobability Plot and
Least-Squares Best-Fit Line</a:t>
            </a:r>
          </a:p>
        </c:rich>
      </c:tx>
      <c:layout>
        <c:manualLayout>
          <c:xMode val="factor"/>
          <c:yMode val="factor"/>
          <c:x val="0"/>
          <c:y val="0"/>
        </c:manualLayout>
      </c:layout>
      <c:spPr>
        <a:noFill/>
        <a:ln>
          <a:noFill/>
        </a:ln>
      </c:spPr>
    </c:title>
    <c:plotArea>
      <c:layout>
        <c:manualLayout>
          <c:xMode val="edge"/>
          <c:yMode val="edge"/>
          <c:x val="0"/>
          <c:y val="0.16425"/>
          <c:w val="0.87525"/>
          <c:h val="0.83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dLbls>
            <c:dLbl>
              <c:idx val="0"/>
              <c:tx>
                <c:rich>
                  <a:bodyPr vert="horz" rot="0" anchor="ctr"/>
                  <a:lstStyle/>
                  <a:p>
                    <a:pPr algn="ctr">
                      <a:defRPr/>
                    </a:pPr>
                    <a:r>
                      <a:rPr lang="en-US" cap="none" sz="1000" b="0" i="0" u="none" baseline="0">
                        <a:solidFill>
                          <a:srgbClr val="000000"/>
                        </a:solidFill>
                        <a:latin typeface="Geneva"/>
                        <a:ea typeface="Geneva"/>
                        <a:cs typeface="Geneva"/>
                      </a:rPr>
                      <a:t>99%</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Geneva"/>
                        <a:ea typeface="Geneva"/>
                        <a:cs typeface="Geneva"/>
                      </a:rPr>
                      <a:t>98%</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Geneva"/>
                        <a:ea typeface="Geneva"/>
                        <a:cs typeface="Geneva"/>
                      </a:rPr>
                      <a:t>95%</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Geneva"/>
                        <a:ea typeface="Geneva"/>
                        <a:cs typeface="Geneva"/>
                      </a:rPr>
                      <a:t>90%</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Geneva"/>
                        <a:ea typeface="Geneva"/>
                        <a:cs typeface="Geneva"/>
                      </a:rPr>
                      <a:t>84%</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Geneva"/>
                        <a:ea typeface="Geneva"/>
                        <a:cs typeface="Geneva"/>
                      </a:rPr>
                      <a:t>75%</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Geneva"/>
                        <a:ea typeface="Geneva"/>
                        <a:cs typeface="Geneva"/>
                      </a:rPr>
                      <a:t>50%</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Geneva"/>
                        <a:ea typeface="Geneva"/>
                        <a:cs typeface="Geneva"/>
                      </a:rPr>
                      <a:t>25%</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Geneva"/>
                        <a:ea typeface="Geneva"/>
                        <a:cs typeface="Geneva"/>
                      </a:rPr>
                      <a:t>16%</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Geneva"/>
                        <a:ea typeface="Geneva"/>
                        <a:cs typeface="Geneva"/>
                      </a:rPr>
                      <a:t>10%</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Geneva"/>
                        <a:ea typeface="Geneva"/>
                        <a:cs typeface="Geneva"/>
                      </a:rPr>
                      <a:t>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Geneva"/>
                        <a:ea typeface="Geneva"/>
                        <a:cs typeface="Geneva"/>
                      </a:rPr>
                      <a:t>2%</a:t>
                    </a:r>
                  </a:p>
                </c:rich>
              </c:tx>
              <c:numFmt formatCode="General" sourceLinked="1"/>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Geneva"/>
                        <a:ea typeface="Geneva"/>
                        <a:cs typeface="Geneva"/>
                      </a:rPr>
                      <a:t>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IHSTATS8!$D$8:$D$20</c:f>
            </c:numRef>
          </c:xVal>
          <c:yVal>
            <c:numRef>
              <c:f>IHSTATS8!$E$8:$E$20</c:f>
            </c:numRef>
          </c:yVal>
          <c:smooth val="0"/>
        </c:ser>
        <c:ser>
          <c:idx val="1"/>
          <c:order val="1"/>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IHSTATS8!$W$117:$W$118</c:f>
            </c:numRef>
          </c:xVal>
          <c:yVal>
            <c:numRef>
              <c:f>IHSTATS8!$X$117:$X$118</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00"/>
                </a:solidFill>
              </a:ln>
            </c:spPr>
          </c:marker>
          <c:xVal>
            <c:numRef>
              <c:f>IHSTATS8!$N$113:$N$162</c:f>
            </c:numRef>
          </c:xVal>
          <c:yVal>
            <c:numRef>
              <c:f>IHSTATS8!$O$113:$O$162</c:f>
            </c:numRef>
          </c:yVal>
          <c:smooth val="0"/>
        </c:ser>
        <c:axId val="39297279"/>
        <c:axId val="18131192"/>
      </c:scatterChart>
      <c:valAx>
        <c:axId val="39297279"/>
        <c:scaling>
          <c:logBase val="10"/>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Concentration</a:t>
                </a:r>
              </a:p>
            </c:rich>
          </c:tx>
          <c:layout>
            <c:manualLayout>
              <c:xMode val="factor"/>
              <c:yMode val="factor"/>
              <c:x val="0.0045"/>
              <c:y val="0.002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cross"/>
        <c:tickLblPos val="nextTo"/>
        <c:spPr>
          <a:ln w="3175">
            <a:solidFill>
              <a:srgbClr val="000000"/>
            </a:solidFill>
          </a:ln>
        </c:spPr>
        <c:crossAx val="18131192"/>
        <c:crossesAt val="2.5"/>
        <c:crossBetween val="midCat"/>
        <c:dispUnits/>
      </c:valAx>
      <c:valAx>
        <c:axId val="18131192"/>
        <c:scaling>
          <c:orientation val="minMax"/>
          <c:min val="2.5"/>
        </c:scaling>
        <c:axPos val="l"/>
        <c:majorGridlines>
          <c:spPr>
            <a:ln w="3175">
              <a:solidFill>
                <a:srgbClr val="000000"/>
              </a:solidFill>
            </a:ln>
          </c:spPr>
        </c:majorGridlines>
        <c:delete val="0"/>
        <c:numFmt formatCode="General" sourceLinked="1"/>
        <c:majorTickMark val="cross"/>
        <c:minorTickMark val="cross"/>
        <c:tickLblPos val="none"/>
        <c:spPr>
          <a:ln w="3175">
            <a:solidFill>
              <a:srgbClr val="000000"/>
            </a:solidFill>
          </a:ln>
        </c:spPr>
        <c:crossAx val="39297279"/>
        <c:crosses val="max"/>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Idealized Lognormal Distribution</a:t>
            </a:r>
          </a:p>
        </c:rich>
      </c:tx>
      <c:layout>
        <c:manualLayout>
          <c:xMode val="factor"/>
          <c:yMode val="factor"/>
          <c:x val="0"/>
          <c:y val="-0.00275"/>
        </c:manualLayout>
      </c:layout>
      <c:spPr>
        <a:noFill/>
        <a:ln>
          <a:noFill/>
        </a:ln>
      </c:spPr>
    </c:title>
    <c:plotArea>
      <c:layout>
        <c:manualLayout>
          <c:xMode val="edge"/>
          <c:yMode val="edge"/>
          <c:x val="0"/>
          <c:y val="0.06675"/>
          <c:w val="1"/>
          <c:h val="0.92625"/>
        </c:manualLayout>
      </c:layout>
      <c:scatterChart>
        <c:scatterStyle val="lineMarker"/>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IHSTATS8!$A$200:$A$299</c:f>
            </c:numRef>
          </c:xVal>
          <c:yVal>
            <c:numRef>
              <c:f>IHSTATS8!$B$200:$B$299</c:f>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1000" b="0" i="0" u="none" baseline="0">
                        <a:solidFill>
                          <a:srgbClr val="000000"/>
                        </a:solidFill>
                        <a:latin typeface="Geneva"/>
                        <a:ea typeface="Geneva"/>
                        <a:cs typeface="Geneva"/>
                      </a:rPr>
                      <a:t>AM and CI's</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IHSTATS8!$U$200:$U$201</c:f>
            </c:numRef>
          </c:xVal>
          <c:yVal>
            <c:numRef>
              <c:f>IHSTATS8!$V$200:$V$201</c:f>
            </c:numRef>
          </c:yVal>
          <c:smooth val="0"/>
        </c:ser>
        <c:ser>
          <c:idx val="2"/>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1000" b="0" i="0" u="none" baseline="0">
                        <a:solidFill>
                          <a:srgbClr val="000000"/>
                        </a:solidFill>
                        <a:latin typeface="Geneva"/>
                        <a:ea typeface="Geneva"/>
                        <a:cs typeface="Geneva"/>
                      </a:rPr>
                      <a:t>95%ile</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IHSTATS8!$W$200:$W$201</c:f>
            </c:numRef>
          </c:xVal>
          <c:yVal>
            <c:numRef>
              <c:f>IHSTATS8!$X$200:$X$201</c:f>
            </c:numRef>
          </c:yVal>
          <c:smooth val="0"/>
        </c:ser>
        <c:ser>
          <c:idx val="3"/>
          <c:order val="3"/>
          <c:spPr>
            <a:ln w="3175">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IHSTATS8!$Y$200:$Y$201</c:f>
            </c:numRef>
          </c:xVal>
          <c:yVal>
            <c:numRef>
              <c:f>IHSTATS8!$Z$200:$Z$201</c:f>
            </c:numRef>
          </c:yVal>
          <c:smooth val="0"/>
        </c:ser>
        <c:ser>
          <c:idx val="4"/>
          <c:order val="4"/>
          <c:spPr>
            <a:ln w="3175">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IHSTATS8!$AA$200:$AA$201</c:f>
            </c:numRef>
          </c:xVal>
          <c:yVal>
            <c:numRef>
              <c:f>IHSTATS8!$AB$200:$AB$201</c:f>
            </c:numRef>
          </c:yVal>
          <c:smooth val="0"/>
        </c:ser>
        <c:axId val="28963001"/>
        <c:axId val="59340418"/>
      </c:scatterChart>
      <c:valAx>
        <c:axId val="28963001"/>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Concentration</a:t>
                </a:r>
              </a:p>
            </c:rich>
          </c:tx>
          <c:layout>
            <c:manualLayout>
              <c:xMode val="factor"/>
              <c:yMode val="factor"/>
              <c:x val="0.00675"/>
              <c:y val="0.004"/>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340418"/>
        <c:crosses val="autoZero"/>
        <c:crossBetween val="midCat"/>
        <c:dispUnits/>
      </c:valAx>
      <c:valAx>
        <c:axId val="59340418"/>
        <c:scaling>
          <c:orientation val="minMax"/>
        </c:scaling>
        <c:axPos val="l"/>
        <c:delete val="0"/>
        <c:numFmt formatCode="General" sourceLinked="1"/>
        <c:majorTickMark val="cross"/>
        <c:minorTickMark val="none"/>
        <c:tickLblPos val="nextTo"/>
        <c:spPr>
          <a:ln w="3175">
            <a:solidFill>
              <a:srgbClr val="000000"/>
            </a:solidFill>
          </a:ln>
        </c:spPr>
        <c:crossAx val="28963001"/>
        <c:crosses val="autoZero"/>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Sequential Data Plot</a:t>
            </a:r>
          </a:p>
        </c:rich>
      </c:tx>
      <c:layout>
        <c:manualLayout>
          <c:xMode val="factor"/>
          <c:yMode val="factor"/>
          <c:x val="0.02375"/>
          <c:y val="-0.00375"/>
        </c:manualLayout>
      </c:layout>
      <c:spPr>
        <a:noFill/>
        <a:ln>
          <a:noFill/>
        </a:ln>
      </c:spPr>
    </c:title>
    <c:plotArea>
      <c:layout>
        <c:manualLayout>
          <c:xMode val="edge"/>
          <c:yMode val="edge"/>
          <c:x val="0.00075"/>
          <c:y val="0.04375"/>
          <c:w val="0.99925"/>
          <c:h val="0.951"/>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IHSTATS8!$I$113:$I$162</c:f>
            </c:numRef>
          </c:xVal>
          <c:yVal>
            <c:numRef>
              <c:f>IHSTATS8!$J$113:$J$162</c:f>
            </c:numRef>
          </c:yVal>
          <c:smooth val="0"/>
        </c:ser>
        <c:axId val="64301715"/>
        <c:axId val="41844524"/>
      </c:scatterChart>
      <c:valAx>
        <c:axId val="64301715"/>
        <c:scaling>
          <c:orientation val="minMax"/>
        </c:scaling>
        <c:axPos val="b"/>
        <c:title>
          <c:tx>
            <c:rich>
              <a:bodyPr vert="horz" rot="0" anchor="ctr"/>
              <a:lstStyle/>
              <a:p>
                <a:pPr algn="ctr">
                  <a:defRPr/>
                </a:pPr>
                <a:r>
                  <a:rPr lang="en-US" cap="none" sz="800" b="1" i="0" u="none" baseline="0">
                    <a:solidFill>
                      <a:srgbClr val="000000"/>
                    </a:solidFill>
                  </a:rPr>
                  <a:t>Sample Number</a:t>
                </a:r>
              </a:p>
            </c:rich>
          </c:tx>
          <c:layout>
            <c:manualLayout>
              <c:xMode val="factor"/>
              <c:yMode val="factor"/>
              <c:x val="0.008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1844524"/>
        <c:crosses val="autoZero"/>
        <c:crossBetween val="midCat"/>
        <c:dispUnits/>
      </c:valAx>
      <c:valAx>
        <c:axId val="41844524"/>
        <c:scaling>
          <c:orientation val="minMax"/>
        </c:scaling>
        <c:axPos val="l"/>
        <c:title>
          <c:tx>
            <c:rich>
              <a:bodyPr vert="horz" rot="-5400000" anchor="ctr"/>
              <a:lstStyle/>
              <a:p>
                <a:pPr algn="ctr">
                  <a:defRPr/>
                </a:pPr>
                <a:r>
                  <a:rPr lang="en-US" cap="none" sz="800" b="1" i="0" u="none" baseline="0">
                    <a:solidFill>
                      <a:srgbClr val="000000"/>
                    </a:solidFill>
                  </a:rPr>
                  <a:t>Concentration</a:t>
                </a:r>
              </a:p>
            </c:rich>
          </c:tx>
          <c:layout>
            <c:manualLayout>
              <c:xMode val="factor"/>
              <c:yMode val="factor"/>
              <c:x val="0.010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301715"/>
        <c:crosses val="autoZero"/>
        <c:crossBetween val="midCat"/>
        <c:dispUnits/>
      </c:valAx>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41</xdr:row>
      <xdr:rowOff>85725</xdr:rowOff>
    </xdr:from>
    <xdr:to>
      <xdr:col>20</xdr:col>
      <xdr:colOff>85725</xdr:colOff>
      <xdr:row>71</xdr:row>
      <xdr:rowOff>76200</xdr:rowOff>
    </xdr:to>
    <xdr:graphicFrame>
      <xdr:nvGraphicFramePr>
        <xdr:cNvPr id="1" name="Chart 1"/>
        <xdr:cNvGraphicFramePr/>
      </xdr:nvGraphicFramePr>
      <xdr:xfrm>
        <a:off x="1266825" y="7134225"/>
        <a:ext cx="3514725" cy="4867275"/>
      </xdr:xfrm>
      <a:graphic>
        <a:graphicData uri="http://schemas.openxmlformats.org/drawingml/2006/chart">
          <c:chart xmlns:c="http://schemas.openxmlformats.org/drawingml/2006/chart" r:id="rId1"/>
        </a:graphicData>
      </a:graphic>
    </xdr:graphicFrame>
    <xdr:clientData/>
  </xdr:twoCellAnchor>
  <xdr:twoCellAnchor>
    <xdr:from>
      <xdr:col>20</xdr:col>
      <xdr:colOff>171450</xdr:colOff>
      <xdr:row>19</xdr:row>
      <xdr:rowOff>76200</xdr:rowOff>
    </xdr:from>
    <xdr:to>
      <xdr:col>25</xdr:col>
      <xdr:colOff>609600</xdr:colOff>
      <xdr:row>49</xdr:row>
      <xdr:rowOff>104775</xdr:rowOff>
    </xdr:to>
    <xdr:graphicFrame>
      <xdr:nvGraphicFramePr>
        <xdr:cNvPr id="2" name="Chart 2"/>
        <xdr:cNvGraphicFramePr/>
      </xdr:nvGraphicFramePr>
      <xdr:xfrm>
        <a:off x="4867275" y="3257550"/>
        <a:ext cx="4657725" cy="5191125"/>
      </xdr:xfrm>
      <a:graphic>
        <a:graphicData uri="http://schemas.openxmlformats.org/drawingml/2006/chart">
          <c:chart xmlns:c="http://schemas.openxmlformats.org/drawingml/2006/chart" r:id="rId2"/>
        </a:graphicData>
      </a:graphic>
    </xdr:graphicFrame>
    <xdr:clientData/>
  </xdr:twoCellAnchor>
  <xdr:twoCellAnchor>
    <xdr:from>
      <xdr:col>20</xdr:col>
      <xdr:colOff>171450</xdr:colOff>
      <xdr:row>50</xdr:row>
      <xdr:rowOff>0</xdr:rowOff>
    </xdr:from>
    <xdr:to>
      <xdr:col>25</xdr:col>
      <xdr:colOff>590550</xdr:colOff>
      <xdr:row>71</xdr:row>
      <xdr:rowOff>76200</xdr:rowOff>
    </xdr:to>
    <xdr:graphicFrame>
      <xdr:nvGraphicFramePr>
        <xdr:cNvPr id="3" name="Chart 3"/>
        <xdr:cNvGraphicFramePr/>
      </xdr:nvGraphicFramePr>
      <xdr:xfrm>
        <a:off x="4867275" y="8505825"/>
        <a:ext cx="4638675" cy="3495675"/>
      </xdr:xfrm>
      <a:graphic>
        <a:graphicData uri="http://schemas.openxmlformats.org/drawingml/2006/chart">
          <c:chart xmlns:c="http://schemas.openxmlformats.org/drawingml/2006/chart" r:id="rId3"/>
        </a:graphicData>
      </a:graphic>
    </xdr:graphicFrame>
    <xdr:clientData/>
  </xdr:twoCellAnchor>
  <xdr:twoCellAnchor>
    <xdr:from>
      <xdr:col>20</xdr:col>
      <xdr:colOff>171450</xdr:colOff>
      <xdr:row>2</xdr:row>
      <xdr:rowOff>152400</xdr:rowOff>
    </xdr:from>
    <xdr:to>
      <xdr:col>25</xdr:col>
      <xdr:colOff>609600</xdr:colOff>
      <xdr:row>19</xdr:row>
      <xdr:rowOff>28575</xdr:rowOff>
    </xdr:to>
    <xdr:graphicFrame>
      <xdr:nvGraphicFramePr>
        <xdr:cNvPr id="4" name="Chart 4"/>
        <xdr:cNvGraphicFramePr/>
      </xdr:nvGraphicFramePr>
      <xdr:xfrm>
        <a:off x="4867275" y="514350"/>
        <a:ext cx="4657725" cy="2695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55"/>
  <sheetViews>
    <sheetView tabSelected="1" zoomScalePageLayoutView="0" workbookViewId="0" topLeftCell="A1">
      <selection activeCell="AA20" sqref="AA20"/>
    </sheetView>
  </sheetViews>
  <sheetFormatPr defaultColWidth="11.375" defaultRowHeight="12.75"/>
  <cols>
    <col min="1" max="1" width="14.25390625" style="21" customWidth="1"/>
    <col min="2" max="2" width="1.625" style="0" customWidth="1"/>
    <col min="3" max="3" width="11.375" style="4" hidden="1" customWidth="1"/>
    <col min="4" max="4" width="13.00390625" style="4" hidden="1" customWidth="1"/>
    <col min="5" max="5" width="13.625" style="4" hidden="1" customWidth="1"/>
    <col min="6" max="6" width="14.75390625" style="4" hidden="1" customWidth="1"/>
    <col min="7" max="7" width="13.25390625" style="4" hidden="1" customWidth="1"/>
    <col min="8" max="8" width="11.375" style="4" hidden="1" customWidth="1"/>
    <col min="9" max="9" width="14.75390625" style="4" hidden="1" customWidth="1"/>
    <col min="10" max="10" width="18.625" style="4" hidden="1" customWidth="1"/>
    <col min="11" max="11" width="13.625" style="4" hidden="1" customWidth="1"/>
    <col min="12" max="12" width="13.00390625" style="4" hidden="1" customWidth="1"/>
    <col min="13" max="13" width="12.375" style="4" hidden="1" customWidth="1"/>
    <col min="14" max="14" width="17.625" style="4" hidden="1" customWidth="1"/>
    <col min="15" max="15" width="16.00390625" style="4" hidden="1" customWidth="1"/>
    <col min="16" max="16" width="13.875" style="4" hidden="1" customWidth="1"/>
    <col min="17" max="17" width="14.125" style="4" hidden="1" customWidth="1"/>
    <col min="18" max="18" width="24.875" style="4" hidden="1" customWidth="1"/>
    <col min="19" max="19" width="35.875" style="8" customWidth="1"/>
    <col min="20" max="21" width="9.875" style="0" customWidth="1"/>
    <col min="22" max="25" width="11.375" style="0" customWidth="1"/>
    <col min="26" max="26" width="9.125" style="0" customWidth="1"/>
  </cols>
  <sheetData>
    <row r="1" spans="1:20" ht="15.75">
      <c r="A1" s="22" t="s">
        <v>248</v>
      </c>
      <c r="T1" s="12"/>
    </row>
    <row r="2" ht="12.75">
      <c r="A2" s="9" t="s">
        <v>0</v>
      </c>
    </row>
    <row r="3" ht="13.5" thickBot="1">
      <c r="A3" s="18"/>
    </row>
    <row r="4" spans="1:20" ht="13.5" thickTop="1">
      <c r="A4" s="96" t="s">
        <v>1</v>
      </c>
      <c r="S4" s="78" t="s">
        <v>2</v>
      </c>
      <c r="T4" s="79"/>
    </row>
    <row r="5" spans="1:20" ht="13.5" thickBot="1">
      <c r="A5" s="19">
        <v>5</v>
      </c>
      <c r="C5"/>
      <c r="D5"/>
      <c r="E5"/>
      <c r="F5"/>
      <c r="G5"/>
      <c r="H5"/>
      <c r="I5"/>
      <c r="J5"/>
      <c r="K5"/>
      <c r="L5"/>
      <c r="M5"/>
      <c r="N5"/>
      <c r="O5"/>
      <c r="P5"/>
      <c r="Q5"/>
      <c r="R5"/>
      <c r="S5" s="8" t="s">
        <v>230</v>
      </c>
      <c r="T5" s="67">
        <f>COUNT(A11:A61)</f>
        <v>15</v>
      </c>
    </row>
    <row r="6" spans="1:20" ht="14.25" thickBot="1" thickTop="1">
      <c r="A6" s="18"/>
      <c r="D6" s="4" t="s">
        <v>3</v>
      </c>
      <c r="F6" s="4" t="s">
        <v>4</v>
      </c>
      <c r="H6" s="4" t="s">
        <v>5</v>
      </c>
      <c r="I6" s="4" t="s">
        <v>6</v>
      </c>
      <c r="S6" s="8" t="s">
        <v>247</v>
      </c>
      <c r="T6" s="67">
        <f>MAX(A11:A61)</f>
        <v>5.5</v>
      </c>
    </row>
    <row r="7" spans="1:20" ht="13.5" thickTop="1">
      <c r="A7" s="94" t="s">
        <v>7</v>
      </c>
      <c r="C7" s="4" t="s">
        <v>8</v>
      </c>
      <c r="D7" s="4" t="s">
        <v>9</v>
      </c>
      <c r="E7" s="4" t="s">
        <v>10</v>
      </c>
      <c r="F7" s="4" t="s">
        <v>9</v>
      </c>
      <c r="G7" s="4" t="s">
        <v>10</v>
      </c>
      <c r="H7" s="4" t="s">
        <v>11</v>
      </c>
      <c r="I7" s="4" t="s">
        <v>12</v>
      </c>
      <c r="J7" s="4" t="s">
        <v>13</v>
      </c>
      <c r="K7" s="4" t="s">
        <v>14</v>
      </c>
      <c r="M7" s="4" t="s">
        <v>15</v>
      </c>
      <c r="N7" s="4" t="s">
        <v>16</v>
      </c>
      <c r="S7" s="8" t="s">
        <v>17</v>
      </c>
      <c r="T7" s="67">
        <f>MIN(A11:A61)</f>
        <v>1.2</v>
      </c>
    </row>
    <row r="8" spans="1:20" ht="12.75">
      <c r="A8" s="95" t="s">
        <v>229</v>
      </c>
      <c r="C8" s="4">
        <f aca="true" t="shared" si="0" ref="C8:C39">K113</f>
        <v>3.718448434455399</v>
      </c>
      <c r="D8" s="5">
        <f aca="true" t="shared" si="1" ref="D8:D20">$D$123</f>
        <v>10</v>
      </c>
      <c r="E8" s="4">
        <f>2.33+5</f>
        <v>7.33</v>
      </c>
      <c r="F8" s="4">
        <f aca="true" t="shared" si="2" ref="F8:F20">CEILING($T$6,5)</f>
        <v>10</v>
      </c>
      <c r="G8" s="4">
        <f aca="true" t="shared" si="3" ref="G8:G20">E8</f>
        <v>7.33</v>
      </c>
      <c r="H8" s="4">
        <f aca="true" t="shared" si="4" ref="H8:I27">IF(ISNUMBER(N113),N113)</f>
        <v>1.2</v>
      </c>
      <c r="I8" s="4">
        <f t="shared" si="4"/>
        <v>3.465879455647454</v>
      </c>
      <c r="J8" s="4">
        <f aca="true" t="shared" si="5" ref="J8:J39">IF(A11&gt;$A$5,1,0)</f>
        <v>0</v>
      </c>
      <c r="K8" s="4">
        <f aca="true" t="shared" si="6" ref="K8:K39">IF(ISNUMBER(N113),LN(N113))</f>
        <v>0.1823215567939546</v>
      </c>
      <c r="M8" s="17">
        <f aca="true" t="shared" si="7" ref="M8:M39">IF(ISNUMBER(A11),(A11-$T$10)^2)</f>
        <v>1.904399999999999</v>
      </c>
      <c r="N8" s="4">
        <f aca="true" t="shared" si="8" ref="N8:N39">IF(ISNUMBER(K8),(K8-$T$13)^2)</f>
        <v>0.5264733137321449</v>
      </c>
      <c r="S8" s="8" t="s">
        <v>18</v>
      </c>
      <c r="T8" s="67">
        <f>T6-T7</f>
        <v>4.3</v>
      </c>
    </row>
    <row r="9" spans="1:20" ht="12.75">
      <c r="A9" s="105" t="s">
        <v>19</v>
      </c>
      <c r="C9" s="4">
        <f t="shared" si="0"/>
        <v>4.0325784338982995</v>
      </c>
      <c r="D9" s="5">
        <f t="shared" si="1"/>
        <v>10</v>
      </c>
      <c r="E9" s="4">
        <f>5+2.05</f>
        <v>7.05</v>
      </c>
      <c r="F9" s="4">
        <f t="shared" si="2"/>
        <v>10</v>
      </c>
      <c r="G9" s="4">
        <f t="shared" si="3"/>
        <v>7.05</v>
      </c>
      <c r="H9" s="4">
        <f t="shared" si="4"/>
        <v>1.3</v>
      </c>
      <c r="I9" s="4">
        <f t="shared" si="4"/>
        <v>3.8496506196239917</v>
      </c>
      <c r="J9" s="4">
        <f t="shared" si="5"/>
        <v>0</v>
      </c>
      <c r="K9" s="4">
        <f t="shared" si="6"/>
        <v>0.26236426446749106</v>
      </c>
      <c r="M9" s="17">
        <f t="shared" si="7"/>
        <v>0.7743999999999994</v>
      </c>
      <c r="N9" s="4">
        <f t="shared" si="8"/>
        <v>0.4167246034111162</v>
      </c>
      <c r="S9" s="8" t="s">
        <v>20</v>
      </c>
      <c r="T9" s="7">
        <f>(SUM(J8:J58)/T5)*100</f>
        <v>6.666666666666667</v>
      </c>
    </row>
    <row r="10" spans="1:27" ht="13.5" thickBot="1">
      <c r="A10" s="106" t="s">
        <v>21</v>
      </c>
      <c r="C10" s="4">
        <f t="shared" si="0"/>
        <v>3.166085364184086</v>
      </c>
      <c r="D10" s="5">
        <f t="shared" si="1"/>
        <v>10</v>
      </c>
      <c r="E10" s="4">
        <f>5+1.645</f>
        <v>6.645</v>
      </c>
      <c r="F10" s="4">
        <f t="shared" si="2"/>
        <v>10</v>
      </c>
      <c r="G10" s="4">
        <f t="shared" si="3"/>
        <v>6.645</v>
      </c>
      <c r="H10" s="4">
        <f t="shared" si="4"/>
        <v>1.8</v>
      </c>
      <c r="I10" s="4">
        <f t="shared" si="4"/>
        <v>4.112853440981124</v>
      </c>
      <c r="J10" s="4">
        <f t="shared" si="5"/>
        <v>0</v>
      </c>
      <c r="K10" s="4">
        <f t="shared" si="6"/>
        <v>0.5877866649021191</v>
      </c>
      <c r="M10" s="17">
        <f t="shared" si="7"/>
        <v>2.1903999999999995</v>
      </c>
      <c r="N10" s="4">
        <f t="shared" si="8"/>
        <v>0.10247662231696457</v>
      </c>
      <c r="S10" s="8" t="s">
        <v>22</v>
      </c>
      <c r="T10" s="7">
        <f>AVERAGE(A11:A61)</f>
        <v>2.6799999999999997</v>
      </c>
      <c r="AA10" s="100"/>
    </row>
    <row r="11" spans="1:27" ht="12.75">
      <c r="A11" s="20">
        <v>1.3</v>
      </c>
      <c r="C11" s="4">
        <f t="shared" si="0"/>
        <v>6.281551565544601</v>
      </c>
      <c r="D11" s="5">
        <f t="shared" si="1"/>
        <v>10</v>
      </c>
      <c r="E11" s="4">
        <f>5+1.28</f>
        <v>6.28</v>
      </c>
      <c r="F11" s="4">
        <f t="shared" si="2"/>
        <v>10</v>
      </c>
      <c r="G11" s="4">
        <f t="shared" si="3"/>
        <v>6.28</v>
      </c>
      <c r="H11" s="4">
        <f t="shared" si="4"/>
        <v>2</v>
      </c>
      <c r="I11" s="4">
        <f t="shared" si="4"/>
        <v>4.325510249803918</v>
      </c>
      <c r="J11" s="4">
        <f t="shared" si="5"/>
        <v>0</v>
      </c>
      <c r="K11" s="4">
        <f t="shared" si="6"/>
        <v>0.6931471805599453</v>
      </c>
      <c r="M11" s="17">
        <f t="shared" si="7"/>
        <v>3.312400000000001</v>
      </c>
      <c r="N11" s="4">
        <f t="shared" si="8"/>
        <v>0.046121507251852045</v>
      </c>
      <c r="S11" s="8" t="s">
        <v>23</v>
      </c>
      <c r="T11" s="7">
        <f>MEDIAN(A11:A61)</f>
        <v>2.5</v>
      </c>
      <c r="AA11" s="100"/>
    </row>
    <row r="12" spans="1:20" ht="12.75">
      <c r="A12" s="20">
        <v>1.8</v>
      </c>
      <c r="C12" s="4">
        <f t="shared" si="0"/>
        <v>4.272086709118355</v>
      </c>
      <c r="D12" s="5">
        <f t="shared" si="1"/>
        <v>10</v>
      </c>
      <c r="E12" s="4">
        <f>5+1</f>
        <v>6</v>
      </c>
      <c r="F12" s="4">
        <f t="shared" si="2"/>
        <v>10</v>
      </c>
      <c r="G12" s="4">
        <f t="shared" si="3"/>
        <v>6</v>
      </c>
      <c r="H12" s="4">
        <f t="shared" si="4"/>
        <v>2.1</v>
      </c>
      <c r="I12" s="4">
        <f t="shared" si="4"/>
        <v>4.511223588885331</v>
      </c>
      <c r="J12" s="4">
        <f t="shared" si="5"/>
        <v>0</v>
      </c>
      <c r="K12" s="4">
        <f t="shared" si="6"/>
        <v>0.7419373447293773</v>
      </c>
      <c r="M12" s="17">
        <f t="shared" si="7"/>
        <v>0.4623999999999996</v>
      </c>
      <c r="N12" s="4">
        <f t="shared" si="8"/>
        <v>0.02754571565133187</v>
      </c>
      <c r="S12" s="8" t="s">
        <v>231</v>
      </c>
      <c r="T12" s="7">
        <f>STDEV(A11:A61)</f>
        <v>1.1384199576606175</v>
      </c>
    </row>
    <row r="13" spans="1:20" ht="12.75">
      <c r="A13" s="20">
        <v>1.2</v>
      </c>
      <c r="C13" s="4">
        <f t="shared" si="0"/>
        <v>4.475599487291959</v>
      </c>
      <c r="D13" s="5">
        <f t="shared" si="1"/>
        <v>10</v>
      </c>
      <c r="E13" s="4">
        <f>5+0.67</f>
        <v>5.67</v>
      </c>
      <c r="F13" s="4">
        <f t="shared" si="2"/>
        <v>10</v>
      </c>
      <c r="G13" s="4">
        <f t="shared" si="3"/>
        <v>5.67</v>
      </c>
      <c r="H13" s="4">
        <f t="shared" si="4"/>
        <v>2.2</v>
      </c>
      <c r="I13" s="4">
        <f t="shared" si="4"/>
        <v>4.681360636035625</v>
      </c>
      <c r="J13" s="4">
        <f t="shared" si="5"/>
        <v>0</v>
      </c>
      <c r="K13" s="4">
        <f t="shared" si="6"/>
        <v>0.7884573603642703</v>
      </c>
      <c r="M13" s="17">
        <f t="shared" si="7"/>
        <v>0.3363999999999996</v>
      </c>
      <c r="N13" s="4">
        <f t="shared" si="8"/>
        <v>0.014268064680931693</v>
      </c>
      <c r="S13" s="8" t="s">
        <v>244</v>
      </c>
      <c r="T13" s="7">
        <f>(AVERAGE(K8:K58))</f>
        <v>0.9079063648847421</v>
      </c>
    </row>
    <row r="14" spans="1:20" ht="12.75">
      <c r="A14" s="20">
        <v>4.5</v>
      </c>
      <c r="C14" s="4">
        <f t="shared" si="0"/>
        <v>6.833914635815914</v>
      </c>
      <c r="D14" s="5">
        <f t="shared" si="1"/>
        <v>10</v>
      </c>
      <c r="E14" s="4">
        <f>5+0</f>
        <v>5</v>
      </c>
      <c r="F14" s="4">
        <f t="shared" si="2"/>
        <v>10</v>
      </c>
      <c r="G14" s="4">
        <f t="shared" si="3"/>
        <v>5</v>
      </c>
      <c r="H14" s="4">
        <f t="shared" si="4"/>
        <v>2.4</v>
      </c>
      <c r="I14" s="4">
        <f t="shared" si="4"/>
        <v>4.842689315389829</v>
      </c>
      <c r="J14" s="4">
        <f t="shared" si="5"/>
        <v>1</v>
      </c>
      <c r="K14" s="4">
        <f t="shared" si="6"/>
        <v>0.8754687373538999</v>
      </c>
      <c r="M14" s="17">
        <f t="shared" si="7"/>
        <v>7.952400000000002</v>
      </c>
      <c r="N14" s="4">
        <f t="shared" si="8"/>
        <v>0.0010521996798296537</v>
      </c>
      <c r="S14" s="8" t="s">
        <v>245</v>
      </c>
      <c r="T14" s="7">
        <f>(STDEV(K8:K58))</f>
        <v>0.4070692959868953</v>
      </c>
    </row>
    <row r="15" spans="1:20" ht="12.75">
      <c r="A15" s="20">
        <v>2</v>
      </c>
      <c r="C15" s="4">
        <f t="shared" si="0"/>
        <v>4.659305172912204</v>
      </c>
      <c r="D15" s="5">
        <f t="shared" si="1"/>
        <v>10</v>
      </c>
      <c r="E15" s="4">
        <f>5+-0.67</f>
        <v>4.33</v>
      </c>
      <c r="F15" s="4">
        <f t="shared" si="2"/>
        <v>10</v>
      </c>
      <c r="G15" s="4">
        <f t="shared" si="3"/>
        <v>4.33</v>
      </c>
      <c r="H15" s="4">
        <f t="shared" si="4"/>
        <v>2.5</v>
      </c>
      <c r="I15" s="4">
        <f t="shared" si="4"/>
        <v>5</v>
      </c>
      <c r="J15" s="4">
        <f t="shared" si="5"/>
        <v>0</v>
      </c>
      <c r="K15" s="4">
        <f t="shared" si="6"/>
        <v>0.9162907318741551</v>
      </c>
      <c r="M15" s="17">
        <f t="shared" si="7"/>
        <v>0.23039999999999955</v>
      </c>
      <c r="N15" s="4">
        <f t="shared" si="8"/>
        <v>7.029760981315888E-05</v>
      </c>
      <c r="S15" s="8" t="s">
        <v>232</v>
      </c>
      <c r="T15" s="7">
        <f>EXP(AVERAGE(K8:K58))</f>
        <v>2.479126709468905</v>
      </c>
    </row>
    <row r="16" spans="1:20" ht="12.75">
      <c r="A16" s="20">
        <v>2.1</v>
      </c>
      <c r="C16" s="4">
        <f t="shared" si="0"/>
        <v>5.727913290881645</v>
      </c>
      <c r="D16" s="5">
        <f t="shared" si="1"/>
        <v>10</v>
      </c>
      <c r="E16" s="4">
        <f>5+-1</f>
        <v>4</v>
      </c>
      <c r="F16" s="4">
        <f t="shared" si="2"/>
        <v>10</v>
      </c>
      <c r="G16" s="4">
        <f t="shared" si="3"/>
        <v>4</v>
      </c>
      <c r="H16" s="4">
        <f t="shared" si="4"/>
        <v>2.5</v>
      </c>
      <c r="I16" s="4">
        <f t="shared" si="4"/>
        <v>5.157310684610171</v>
      </c>
      <c r="J16" s="4">
        <f t="shared" si="5"/>
        <v>0</v>
      </c>
      <c r="K16" s="4">
        <f t="shared" si="6"/>
        <v>0.9162907318741551</v>
      </c>
      <c r="M16" s="17">
        <f t="shared" si="7"/>
        <v>0.10240000000000019</v>
      </c>
      <c r="N16" s="4">
        <f t="shared" si="8"/>
        <v>7.029760981315888E-05</v>
      </c>
      <c r="S16" s="8" t="s">
        <v>233</v>
      </c>
      <c r="T16" s="7">
        <f>EXP(STDEV(K8:K58))</f>
        <v>1.5024082129146348</v>
      </c>
    </row>
    <row r="17" spans="1:19" ht="12.75">
      <c r="A17" s="20">
        <v>5.5</v>
      </c>
      <c r="C17" s="4">
        <f t="shared" si="0"/>
        <v>4.8321059952118945</v>
      </c>
      <c r="D17" s="5">
        <f t="shared" si="1"/>
        <v>10</v>
      </c>
      <c r="E17" s="4">
        <f>5+-1.28</f>
        <v>3.7199999999999998</v>
      </c>
      <c r="F17" s="4">
        <f t="shared" si="2"/>
        <v>10</v>
      </c>
      <c r="G17" s="4">
        <f t="shared" si="3"/>
        <v>3.7199999999999998</v>
      </c>
      <c r="H17" s="4">
        <f t="shared" si="4"/>
        <v>2.8</v>
      </c>
      <c r="I17" s="4">
        <f t="shared" si="4"/>
        <v>5.318639363964375</v>
      </c>
      <c r="J17" s="4">
        <f t="shared" si="5"/>
        <v>0</v>
      </c>
      <c r="K17" s="4">
        <f t="shared" si="6"/>
        <v>1.0296194171811581</v>
      </c>
      <c r="M17" s="17">
        <f t="shared" si="7"/>
        <v>0.07839999999999989</v>
      </c>
      <c r="N17" s="4">
        <f t="shared" si="8"/>
        <v>0.014814067099310107</v>
      </c>
      <c r="S17"/>
    </row>
    <row r="18" spans="1:20" ht="12.75">
      <c r="A18" s="20">
        <v>2.2</v>
      </c>
      <c r="C18" s="4">
        <f t="shared" si="0"/>
        <v>5</v>
      </c>
      <c r="D18" s="5">
        <f t="shared" si="1"/>
        <v>10</v>
      </c>
      <c r="E18" s="4">
        <f>5+-1.645</f>
        <v>3.355</v>
      </c>
      <c r="F18" s="4">
        <f t="shared" si="2"/>
        <v>10</v>
      </c>
      <c r="G18" s="4">
        <f t="shared" si="3"/>
        <v>3.355</v>
      </c>
      <c r="H18" s="4">
        <f t="shared" si="4"/>
        <v>2.9</v>
      </c>
      <c r="I18" s="4">
        <f t="shared" si="4"/>
        <v>5.488776411114669</v>
      </c>
      <c r="J18" s="4">
        <f t="shared" si="5"/>
        <v>0</v>
      </c>
      <c r="K18" s="4">
        <f t="shared" si="6"/>
        <v>1.0647107369924282</v>
      </c>
      <c r="M18" s="17">
        <f t="shared" si="7"/>
        <v>0.0323999999999999</v>
      </c>
      <c r="N18" s="4">
        <f t="shared" si="8"/>
        <v>0.024587611112085708</v>
      </c>
      <c r="S18" s="80" t="s">
        <v>24</v>
      </c>
      <c r="T18" s="79"/>
    </row>
    <row r="19" spans="1:20" ht="12.75">
      <c r="A19" s="20">
        <v>3</v>
      </c>
      <c r="C19" s="4">
        <f t="shared" si="0"/>
        <v>5</v>
      </c>
      <c r="D19" s="5">
        <f t="shared" si="1"/>
        <v>10</v>
      </c>
      <c r="E19" s="4">
        <f>5+-2.05</f>
        <v>2.95</v>
      </c>
      <c r="F19" s="4">
        <f t="shared" si="2"/>
        <v>10</v>
      </c>
      <c r="G19" s="4">
        <f t="shared" si="3"/>
        <v>2.95</v>
      </c>
      <c r="H19" s="4">
        <f t="shared" si="4"/>
        <v>3</v>
      </c>
      <c r="I19" s="4">
        <f t="shared" si="4"/>
        <v>5.674489750196082</v>
      </c>
      <c r="J19" s="4">
        <f t="shared" si="5"/>
        <v>0</v>
      </c>
      <c r="K19" s="4">
        <f t="shared" si="6"/>
        <v>1.0986122886681098</v>
      </c>
      <c r="M19" s="17">
        <f t="shared" si="7"/>
        <v>0.0323999999999999</v>
      </c>
      <c r="N19" s="4">
        <f t="shared" si="8"/>
        <v>0.036368749366067654</v>
      </c>
      <c r="S19" s="3" t="s">
        <v>246</v>
      </c>
      <c r="T19" s="7">
        <f>B401</f>
        <v>0.9741245432316519</v>
      </c>
    </row>
    <row r="20" spans="1:20" ht="12.75">
      <c r="A20" s="20">
        <v>2.4</v>
      </c>
      <c r="C20" s="4">
        <f t="shared" si="0"/>
        <v>5.9674215661017005</v>
      </c>
      <c r="D20" s="5">
        <f t="shared" si="1"/>
        <v>10</v>
      </c>
      <c r="E20" s="4">
        <f>5+-2.33</f>
        <v>2.67</v>
      </c>
      <c r="F20" s="4">
        <f t="shared" si="2"/>
        <v>10</v>
      </c>
      <c r="G20" s="4">
        <f t="shared" si="3"/>
        <v>2.67</v>
      </c>
      <c r="H20" s="4">
        <f t="shared" si="4"/>
        <v>3.5</v>
      </c>
      <c r="I20" s="4">
        <f t="shared" si="4"/>
        <v>5.887146559018876</v>
      </c>
      <c r="J20" s="4">
        <f t="shared" si="5"/>
        <v>0</v>
      </c>
      <c r="K20" s="4">
        <f t="shared" si="6"/>
        <v>1.252762968495368</v>
      </c>
      <c r="M20" s="17">
        <f t="shared" si="7"/>
        <v>0.6724000000000004</v>
      </c>
      <c r="N20" s="4">
        <f t="shared" si="8"/>
        <v>0.11892607705385641</v>
      </c>
      <c r="S20" t="s">
        <v>234</v>
      </c>
      <c r="T20" s="11" t="str">
        <f>D401</f>
        <v>Yes</v>
      </c>
    </row>
    <row r="21" spans="1:19" ht="12.75">
      <c r="A21" s="20">
        <v>2.5</v>
      </c>
      <c r="C21" s="4">
        <f t="shared" si="0"/>
        <v>5.340694827087796</v>
      </c>
      <c r="H21" s="4">
        <f t="shared" si="4"/>
        <v>4.5</v>
      </c>
      <c r="I21" s="4">
        <f t="shared" si="4"/>
        <v>6.150349380376008</v>
      </c>
      <c r="J21" s="4">
        <f t="shared" si="5"/>
        <v>0</v>
      </c>
      <c r="K21" s="4">
        <f t="shared" si="6"/>
        <v>1.5040773967762742</v>
      </c>
      <c r="M21" s="17">
        <f t="shared" si="7"/>
        <v>0.014400000000000026</v>
      </c>
      <c r="N21" s="4">
        <f t="shared" si="8"/>
        <v>0.35541989926661416</v>
      </c>
      <c r="S21"/>
    </row>
    <row r="22" spans="1:20" ht="12.75">
      <c r="A22" s="20">
        <v>2.5</v>
      </c>
      <c r="C22" s="4">
        <f t="shared" si="0"/>
        <v>5.5244005127080404</v>
      </c>
      <c r="H22" s="4">
        <f t="shared" si="4"/>
        <v>5.5</v>
      </c>
      <c r="I22" s="4">
        <f t="shared" si="4"/>
        <v>6.534120544352547</v>
      </c>
      <c r="J22" s="4">
        <f t="shared" si="5"/>
        <v>0</v>
      </c>
      <c r="K22" s="4">
        <f t="shared" si="6"/>
        <v>1.7047480922384253</v>
      </c>
      <c r="M22" s="17">
        <f t="shared" si="7"/>
        <v>0.04840000000000009</v>
      </c>
      <c r="N22" s="4">
        <f t="shared" si="8"/>
        <v>0.6349567384520016</v>
      </c>
      <c r="S22" t="s">
        <v>235</v>
      </c>
      <c r="T22" s="7">
        <f>B400</f>
        <v>0.9039017894400342</v>
      </c>
    </row>
    <row r="23" spans="1:20" ht="12.75">
      <c r="A23" s="20">
        <v>3.5</v>
      </c>
      <c r="C23" s="4" t="e">
        <f t="shared" si="0"/>
        <v>#N/A</v>
      </c>
      <c r="H23" s="4" t="b">
        <f t="shared" si="4"/>
        <v>0</v>
      </c>
      <c r="I23" s="4" t="b">
        <f t="shared" si="4"/>
        <v>0</v>
      </c>
      <c r="J23" s="4">
        <f t="shared" si="5"/>
        <v>0</v>
      </c>
      <c r="K23" s="4" t="b">
        <f t="shared" si="6"/>
        <v>0</v>
      </c>
      <c r="M23" s="17" t="b">
        <f t="shared" si="7"/>
        <v>0</v>
      </c>
      <c r="N23" s="4" t="b">
        <f t="shared" si="8"/>
        <v>0</v>
      </c>
      <c r="S23" t="s">
        <v>236</v>
      </c>
      <c r="T23" s="11" t="str">
        <f>D400</f>
        <v>Yes</v>
      </c>
    </row>
    <row r="24" spans="1:19" ht="12.75">
      <c r="A24" s="20">
        <v>2.8</v>
      </c>
      <c r="C24" s="4" t="e">
        <f t="shared" si="0"/>
        <v>#N/A</v>
      </c>
      <c r="H24" s="4" t="b">
        <f t="shared" si="4"/>
        <v>0</v>
      </c>
      <c r="I24" s="4" t="b">
        <f t="shared" si="4"/>
        <v>0</v>
      </c>
      <c r="J24" s="4">
        <f t="shared" si="5"/>
        <v>0</v>
      </c>
      <c r="K24" s="4" t="b">
        <f t="shared" si="6"/>
        <v>0</v>
      </c>
      <c r="M24" s="17" t="b">
        <f t="shared" si="7"/>
        <v>0</v>
      </c>
      <c r="N24" s="4" t="b">
        <f t="shared" si="8"/>
        <v>0</v>
      </c>
      <c r="S24"/>
    </row>
    <row r="25" spans="1:20" ht="12.75">
      <c r="A25" s="20">
        <v>2.9</v>
      </c>
      <c r="C25" s="4" t="e">
        <f t="shared" si="0"/>
        <v>#N/A</v>
      </c>
      <c r="H25" s="4" t="b">
        <f t="shared" si="4"/>
        <v>0</v>
      </c>
      <c r="I25" s="4" t="b">
        <f t="shared" si="4"/>
        <v>0</v>
      </c>
      <c r="J25" s="4">
        <f t="shared" si="5"/>
        <v>0</v>
      </c>
      <c r="K25" s="4" t="b">
        <f t="shared" si="6"/>
        <v>0</v>
      </c>
      <c r="M25" s="17" t="b">
        <f t="shared" si="7"/>
        <v>0</v>
      </c>
      <c r="N25" s="4" t="b">
        <f t="shared" si="8"/>
        <v>0</v>
      </c>
      <c r="S25" s="81" t="s">
        <v>25</v>
      </c>
      <c r="T25" s="82"/>
    </row>
    <row r="26" spans="1:20" ht="12.75">
      <c r="A26" s="20"/>
      <c r="C26" s="4" t="e">
        <f t="shared" si="0"/>
        <v>#N/A</v>
      </c>
      <c r="H26" s="4" t="b">
        <f t="shared" si="4"/>
        <v>0</v>
      </c>
      <c r="I26" s="4" t="b">
        <f t="shared" si="4"/>
        <v>0</v>
      </c>
      <c r="J26" s="4">
        <f t="shared" si="5"/>
        <v>0</v>
      </c>
      <c r="K26" s="4" t="b">
        <f t="shared" si="6"/>
        <v>0</v>
      </c>
      <c r="M26" s="17" t="b">
        <f t="shared" si="7"/>
        <v>0</v>
      </c>
      <c r="N26" s="4" t="b">
        <f t="shared" si="8"/>
        <v>0</v>
      </c>
      <c r="Q26"/>
      <c r="R26"/>
      <c r="S26" s="73" t="s">
        <v>26</v>
      </c>
      <c r="T26" s="74">
        <f>W135</f>
        <v>2.6774531840854046</v>
      </c>
    </row>
    <row r="27" spans="1:20" ht="15.75">
      <c r="A27" s="20"/>
      <c r="C27" s="4" t="e">
        <f t="shared" si="0"/>
        <v>#N/A</v>
      </c>
      <c r="H27" s="4" t="b">
        <f t="shared" si="4"/>
        <v>0</v>
      </c>
      <c r="I27" s="4" t="b">
        <f t="shared" si="4"/>
        <v>0</v>
      </c>
      <c r="J27" s="4">
        <f t="shared" si="5"/>
        <v>0</v>
      </c>
      <c r="K27" s="4" t="b">
        <f t="shared" si="6"/>
        <v>0</v>
      </c>
      <c r="M27" s="17" t="b">
        <f t="shared" si="7"/>
        <v>0</v>
      </c>
      <c r="N27" s="4" t="b">
        <f t="shared" si="8"/>
        <v>0</v>
      </c>
      <c r="S27" s="75" t="s">
        <v>242</v>
      </c>
      <c r="T27" s="76">
        <f>J218</f>
        <v>2.2569901484567523</v>
      </c>
    </row>
    <row r="28" spans="1:20" ht="15.75">
      <c r="A28" s="20"/>
      <c r="C28" s="4" t="e">
        <f t="shared" si="0"/>
        <v>#N/A</v>
      </c>
      <c r="H28" s="4" t="b">
        <f aca="true" t="shared" si="9" ref="H28:I47">IF(ISNUMBER(N133),N133)</f>
        <v>0</v>
      </c>
      <c r="I28" s="4" t="b">
        <f t="shared" si="9"/>
        <v>0</v>
      </c>
      <c r="J28" s="4">
        <f t="shared" si="5"/>
        <v>0</v>
      </c>
      <c r="K28" s="4" t="b">
        <f t="shared" si="6"/>
        <v>0</v>
      </c>
      <c r="M28" s="17" t="b">
        <f t="shared" si="7"/>
        <v>0</v>
      </c>
      <c r="N28" s="4" t="b">
        <f t="shared" si="8"/>
        <v>0</v>
      </c>
      <c r="S28" s="68" t="s">
        <v>243</v>
      </c>
      <c r="T28" s="69">
        <f>J219</f>
        <v>3.326659595877428</v>
      </c>
    </row>
    <row r="29" spans="1:20" ht="12.75">
      <c r="A29" s="20"/>
      <c r="C29" s="4" t="e">
        <f t="shared" si="0"/>
        <v>#N/A</v>
      </c>
      <c r="H29" s="4" t="b">
        <f t="shared" si="9"/>
        <v>0</v>
      </c>
      <c r="I29" s="4" t="b">
        <f t="shared" si="9"/>
        <v>0</v>
      </c>
      <c r="J29" s="4">
        <f t="shared" si="5"/>
        <v>0</v>
      </c>
      <c r="K29" s="4" t="b">
        <f t="shared" si="6"/>
        <v>0</v>
      </c>
      <c r="M29" s="17" t="b">
        <f t="shared" si="7"/>
        <v>0</v>
      </c>
      <c r="N29" s="4" t="b">
        <f t="shared" si="8"/>
        <v>0</v>
      </c>
      <c r="S29" s="71" t="s">
        <v>27</v>
      </c>
      <c r="T29" s="77">
        <f>$T$15*($T$16^(1.645))</f>
        <v>4.843004810855004</v>
      </c>
    </row>
    <row r="30" spans="1:20" ht="15.75">
      <c r="A30" s="20"/>
      <c r="C30" s="4" t="e">
        <f t="shared" si="0"/>
        <v>#N/A</v>
      </c>
      <c r="H30" s="4" t="b">
        <f t="shared" si="9"/>
        <v>0</v>
      </c>
      <c r="I30" s="4" t="b">
        <f t="shared" si="9"/>
        <v>0</v>
      </c>
      <c r="J30" s="4">
        <f t="shared" si="5"/>
        <v>0</v>
      </c>
      <c r="K30" s="4" t="b">
        <f t="shared" si="6"/>
        <v>0</v>
      </c>
      <c r="M30" s="17" t="b">
        <f t="shared" si="7"/>
        <v>0</v>
      </c>
      <c r="N30" s="4" t="b">
        <f t="shared" si="8"/>
        <v>0</v>
      </c>
      <c r="S30" s="68" t="s">
        <v>239</v>
      </c>
      <c r="T30" s="69">
        <f>AE126</f>
        <v>7.045902050486842</v>
      </c>
    </row>
    <row r="31" spans="1:20" ht="12.75">
      <c r="A31" s="20"/>
      <c r="C31" s="4" t="e">
        <f t="shared" si="0"/>
        <v>#N/A</v>
      </c>
      <c r="H31" s="4" t="b">
        <f t="shared" si="9"/>
        <v>0</v>
      </c>
      <c r="I31" s="4" t="b">
        <f t="shared" si="9"/>
        <v>0</v>
      </c>
      <c r="J31" s="4">
        <f t="shared" si="5"/>
        <v>0</v>
      </c>
      <c r="K31" s="4" t="b">
        <f t="shared" si="6"/>
        <v>0</v>
      </c>
      <c r="M31" s="17" t="b">
        <f t="shared" si="7"/>
        <v>0</v>
      </c>
      <c r="N31" s="4" t="b">
        <f t="shared" si="8"/>
        <v>0</v>
      </c>
      <c r="S31" s="71" t="s">
        <v>20</v>
      </c>
      <c r="T31" s="84">
        <f>100*(1-LOGNORMDIST($A$5,$T$13,$T$14))</f>
        <v>4.241069948145881</v>
      </c>
    </row>
    <row r="32" spans="1:20" ht="15.75">
      <c r="A32" s="20"/>
      <c r="C32" s="4" t="e">
        <f t="shared" si="0"/>
        <v>#N/A</v>
      </c>
      <c r="H32" s="4" t="b">
        <f t="shared" si="9"/>
        <v>0</v>
      </c>
      <c r="I32" s="4" t="b">
        <f t="shared" si="9"/>
        <v>0</v>
      </c>
      <c r="J32" s="4">
        <f t="shared" si="5"/>
        <v>0</v>
      </c>
      <c r="K32" s="4" t="b">
        <f t="shared" si="6"/>
        <v>0</v>
      </c>
      <c r="M32" s="17" t="b">
        <f t="shared" si="7"/>
        <v>0</v>
      </c>
      <c r="N32" s="4" t="b">
        <f t="shared" si="8"/>
        <v>0</v>
      </c>
      <c r="S32" s="75" t="s">
        <v>240</v>
      </c>
      <c r="T32" s="85">
        <f>J250</f>
        <v>0.8551913302441932</v>
      </c>
    </row>
    <row r="33" spans="1:20" ht="15.75">
      <c r="A33" s="20"/>
      <c r="C33" s="4" t="e">
        <f t="shared" si="0"/>
        <v>#N/A</v>
      </c>
      <c r="H33" s="4" t="b">
        <f t="shared" si="9"/>
        <v>0</v>
      </c>
      <c r="I33" s="4" t="b">
        <f t="shared" si="9"/>
        <v>0</v>
      </c>
      <c r="J33" s="4">
        <f t="shared" si="5"/>
        <v>0</v>
      </c>
      <c r="K33" s="4" t="b">
        <f t="shared" si="6"/>
        <v>0</v>
      </c>
      <c r="M33" s="17" t="b">
        <f t="shared" si="7"/>
        <v>0</v>
      </c>
      <c r="N33" s="4" t="b">
        <f t="shared" si="8"/>
        <v>0</v>
      </c>
      <c r="S33" s="68" t="s">
        <v>241</v>
      </c>
      <c r="T33" s="86">
        <f>J251</f>
        <v>15.271014260097004</v>
      </c>
    </row>
    <row r="34" spans="1:19" ht="12.75">
      <c r="A34" s="20"/>
      <c r="C34" s="4" t="e">
        <f t="shared" si="0"/>
        <v>#N/A</v>
      </c>
      <c r="H34" s="4" t="b">
        <f t="shared" si="9"/>
        <v>0</v>
      </c>
      <c r="I34" s="4" t="b">
        <f t="shared" si="9"/>
        <v>0</v>
      </c>
      <c r="J34" s="4">
        <f t="shared" si="5"/>
        <v>0</v>
      </c>
      <c r="K34" s="4" t="b">
        <f t="shared" si="6"/>
        <v>0</v>
      </c>
      <c r="M34" s="17" t="b">
        <f t="shared" si="7"/>
        <v>0</v>
      </c>
      <c r="N34" s="4" t="b">
        <f t="shared" si="8"/>
        <v>0</v>
      </c>
      <c r="S34"/>
    </row>
    <row r="35" spans="1:20" ht="12.75">
      <c r="A35" s="20"/>
      <c r="C35" s="4" t="e">
        <f t="shared" si="0"/>
        <v>#N/A</v>
      </c>
      <c r="H35" s="4" t="b">
        <f t="shared" si="9"/>
        <v>0</v>
      </c>
      <c r="I35" s="4" t="b">
        <f t="shared" si="9"/>
        <v>0</v>
      </c>
      <c r="J35" s="4">
        <f t="shared" si="5"/>
        <v>0</v>
      </c>
      <c r="K35" s="4" t="b">
        <f t="shared" si="6"/>
        <v>0</v>
      </c>
      <c r="M35" s="17" t="b">
        <f t="shared" si="7"/>
        <v>0</v>
      </c>
      <c r="N35" s="4" t="b">
        <f t="shared" si="8"/>
        <v>0</v>
      </c>
      <c r="S35" s="81" t="s">
        <v>28</v>
      </c>
      <c r="T35" s="83"/>
    </row>
    <row r="36" spans="1:20" ht="12.75">
      <c r="A36" s="20"/>
      <c r="C36" s="4" t="e">
        <f t="shared" si="0"/>
        <v>#N/A</v>
      </c>
      <c r="H36" s="4" t="b">
        <f t="shared" si="9"/>
        <v>0</v>
      </c>
      <c r="I36" s="4" t="b">
        <f t="shared" si="9"/>
        <v>0</v>
      </c>
      <c r="J36" s="4">
        <f t="shared" si="5"/>
        <v>0</v>
      </c>
      <c r="K36" s="4" t="b">
        <f t="shared" si="6"/>
        <v>0</v>
      </c>
      <c r="M36" s="17" t="b">
        <f t="shared" si="7"/>
        <v>0</v>
      </c>
      <c r="N36" s="4" t="b">
        <f t="shared" si="8"/>
        <v>0</v>
      </c>
      <c r="Q36"/>
      <c r="R36"/>
      <c r="S36" s="71" t="s">
        <v>29</v>
      </c>
      <c r="T36" s="76">
        <f>T10</f>
        <v>2.6799999999999997</v>
      </c>
    </row>
    <row r="37" spans="1:20" ht="15.75">
      <c r="A37" s="20"/>
      <c r="C37" s="4" t="e">
        <f t="shared" si="0"/>
        <v>#N/A</v>
      </c>
      <c r="H37" s="4" t="b">
        <f t="shared" si="9"/>
        <v>0</v>
      </c>
      <c r="I37" s="4" t="b">
        <f t="shared" si="9"/>
        <v>0</v>
      </c>
      <c r="J37" s="4">
        <f t="shared" si="5"/>
        <v>0</v>
      </c>
      <c r="K37" s="4" t="b">
        <f t="shared" si="6"/>
        <v>0</v>
      </c>
      <c r="M37" s="17" t="b">
        <f t="shared" si="7"/>
        <v>0</v>
      </c>
      <c r="N37" s="4" t="b">
        <f t="shared" si="8"/>
        <v>0</v>
      </c>
      <c r="Q37"/>
      <c r="R37"/>
      <c r="S37" s="75" t="s">
        <v>237</v>
      </c>
      <c r="T37" s="76">
        <f>T36-(TINV(0.1,$T$5-1)*($T$12/SQRT($T$5)))</f>
        <v>2.1622826666271218</v>
      </c>
    </row>
    <row r="38" spans="1:20" ht="15.75">
      <c r="A38" s="20"/>
      <c r="C38" s="4" t="e">
        <f t="shared" si="0"/>
        <v>#N/A</v>
      </c>
      <c r="H38" s="4" t="b">
        <f t="shared" si="9"/>
        <v>0</v>
      </c>
      <c r="I38" s="4" t="b">
        <f t="shared" si="9"/>
        <v>0</v>
      </c>
      <c r="J38" s="4">
        <f t="shared" si="5"/>
        <v>0</v>
      </c>
      <c r="K38" s="4" t="b">
        <f t="shared" si="6"/>
        <v>0</v>
      </c>
      <c r="M38" s="17" t="b">
        <f t="shared" si="7"/>
        <v>0</v>
      </c>
      <c r="N38" s="4" t="b">
        <f t="shared" si="8"/>
        <v>0</v>
      </c>
      <c r="S38" s="68" t="s">
        <v>238</v>
      </c>
      <c r="T38" s="70">
        <f>T36+(TINV(0.1,$T$5-1)*($T$12/SQRT($T$5)))</f>
        <v>3.1977173333728777</v>
      </c>
    </row>
    <row r="39" spans="1:20" ht="12.75">
      <c r="A39" s="20"/>
      <c r="C39" s="4" t="e">
        <f t="shared" si="0"/>
        <v>#N/A</v>
      </c>
      <c r="H39" s="4" t="b">
        <f t="shared" si="9"/>
        <v>0</v>
      </c>
      <c r="I39" s="4" t="b">
        <f t="shared" si="9"/>
        <v>0</v>
      </c>
      <c r="J39" s="4">
        <f t="shared" si="5"/>
        <v>0</v>
      </c>
      <c r="K39" s="4" t="b">
        <f t="shared" si="6"/>
        <v>0</v>
      </c>
      <c r="M39" s="17" t="b">
        <f t="shared" si="7"/>
        <v>0</v>
      </c>
      <c r="N39" s="4" t="b">
        <f t="shared" si="8"/>
        <v>0</v>
      </c>
      <c r="S39" s="71" t="s">
        <v>30</v>
      </c>
      <c r="T39" s="76">
        <f>T36+(1.645*T12)</f>
        <v>4.552700830351716</v>
      </c>
    </row>
    <row r="40" spans="1:20" ht="15.75">
      <c r="A40" s="20"/>
      <c r="C40" s="4" t="e">
        <f aca="true" t="shared" si="10" ref="C40:C58">K145</f>
        <v>#N/A</v>
      </c>
      <c r="H40" s="4" t="b">
        <f t="shared" si="9"/>
        <v>0</v>
      </c>
      <c r="I40" s="4" t="b">
        <f t="shared" si="9"/>
        <v>0</v>
      </c>
      <c r="J40" s="4">
        <f aca="true" t="shared" si="11" ref="J40:J58">IF(A43&gt;$A$5,1,0)</f>
        <v>0</v>
      </c>
      <c r="K40" s="4" t="b">
        <f aca="true" t="shared" si="12" ref="K40:K58">IF(ISNUMBER(N145),LN(N145))</f>
        <v>0</v>
      </c>
      <c r="M40" s="17" t="b">
        <f aca="true" t="shared" si="13" ref="M40:M58">IF(ISNUMBER(A43),(A43-$T$10)^2)</f>
        <v>0</v>
      </c>
      <c r="N40" s="4" t="b">
        <f aca="true" t="shared" si="14" ref="N40:N58">IF(ISNUMBER(K40),(K40-$T$13)^2)</f>
        <v>0</v>
      </c>
      <c r="S40" s="68" t="s">
        <v>239</v>
      </c>
      <c r="T40" s="97">
        <f>AG126</f>
        <v>5.601185611357144</v>
      </c>
    </row>
    <row r="41" spans="1:20" ht="12.75">
      <c r="A41" s="20"/>
      <c r="C41" s="4" t="e">
        <f t="shared" si="10"/>
        <v>#N/A</v>
      </c>
      <c r="H41" s="4" t="b">
        <f t="shared" si="9"/>
        <v>0</v>
      </c>
      <c r="I41" s="4" t="b">
        <f t="shared" si="9"/>
        <v>0</v>
      </c>
      <c r="J41" s="4">
        <f t="shared" si="11"/>
        <v>0</v>
      </c>
      <c r="K41" s="4" t="b">
        <f t="shared" si="12"/>
        <v>0</v>
      </c>
      <c r="M41" s="17" t="b">
        <f t="shared" si="13"/>
        <v>0</v>
      </c>
      <c r="N41" s="4" t="b">
        <f t="shared" si="14"/>
        <v>0</v>
      </c>
      <c r="S41" s="98" t="s">
        <v>20</v>
      </c>
      <c r="T41" s="99">
        <f>100*(1-NORMDIST(A5,T36,T12,TRUE()))</f>
        <v>2.077935364848005</v>
      </c>
    </row>
    <row r="42" spans="1:20" ht="12.75">
      <c r="A42" s="20"/>
      <c r="C42" s="4" t="e">
        <f t="shared" si="10"/>
        <v>#N/A</v>
      </c>
      <c r="H42" s="4" t="b">
        <f t="shared" si="9"/>
        <v>0</v>
      </c>
      <c r="I42" s="4" t="b">
        <f t="shared" si="9"/>
        <v>0</v>
      </c>
      <c r="J42" s="4">
        <f t="shared" si="11"/>
        <v>0</v>
      </c>
      <c r="K42" s="4" t="b">
        <f t="shared" si="12"/>
        <v>0</v>
      </c>
      <c r="M42" s="17" t="b">
        <f t="shared" si="13"/>
        <v>0</v>
      </c>
      <c r="N42" s="4" t="b">
        <f t="shared" si="14"/>
        <v>0</v>
      </c>
      <c r="S42" s="75"/>
      <c r="T42" s="72"/>
    </row>
    <row r="43" spans="1:19" ht="12.75">
      <c r="A43" s="20"/>
      <c r="C43" s="4" t="e">
        <f t="shared" si="10"/>
        <v>#N/A</v>
      </c>
      <c r="H43" s="4" t="b">
        <f t="shared" si="9"/>
        <v>0</v>
      </c>
      <c r="I43" s="4" t="b">
        <f t="shared" si="9"/>
        <v>0</v>
      </c>
      <c r="J43" s="4">
        <f t="shared" si="11"/>
        <v>0</v>
      </c>
      <c r="K43" s="4" t="b">
        <f t="shared" si="12"/>
        <v>0</v>
      </c>
      <c r="M43" s="17" t="b">
        <f t="shared" si="13"/>
        <v>0</v>
      </c>
      <c r="N43" s="4" t="b">
        <f t="shared" si="14"/>
        <v>0</v>
      </c>
      <c r="S43"/>
    </row>
    <row r="44" spans="1:19" ht="12.75">
      <c r="A44" s="20"/>
      <c r="C44" s="4" t="e">
        <f t="shared" si="10"/>
        <v>#N/A</v>
      </c>
      <c r="H44" s="4" t="b">
        <f t="shared" si="9"/>
        <v>0</v>
      </c>
      <c r="I44" s="4" t="b">
        <f t="shared" si="9"/>
        <v>0</v>
      </c>
      <c r="J44" s="4">
        <f t="shared" si="11"/>
        <v>0</v>
      </c>
      <c r="K44" s="4" t="b">
        <f t="shared" si="12"/>
        <v>0</v>
      </c>
      <c r="M44" s="17" t="b">
        <f t="shared" si="13"/>
        <v>0</v>
      </c>
      <c r="N44" s="4" t="b">
        <f t="shared" si="14"/>
        <v>0</v>
      </c>
      <c r="S44"/>
    </row>
    <row r="45" spans="1:19" ht="12.75">
      <c r="A45" s="20"/>
      <c r="C45" s="4" t="e">
        <f t="shared" si="10"/>
        <v>#N/A</v>
      </c>
      <c r="H45" s="4" t="b">
        <f t="shared" si="9"/>
        <v>0</v>
      </c>
      <c r="I45" s="4" t="b">
        <f t="shared" si="9"/>
        <v>0</v>
      </c>
      <c r="J45" s="4">
        <f t="shared" si="11"/>
        <v>0</v>
      </c>
      <c r="K45" s="4" t="b">
        <f t="shared" si="12"/>
        <v>0</v>
      </c>
      <c r="M45" s="17" t="b">
        <f t="shared" si="13"/>
        <v>0</v>
      </c>
      <c r="N45" s="4" t="b">
        <f t="shared" si="14"/>
        <v>0</v>
      </c>
      <c r="S45"/>
    </row>
    <row r="46" spans="1:19" ht="12.75">
      <c r="A46" s="20"/>
      <c r="C46" s="4" t="e">
        <f t="shared" si="10"/>
        <v>#N/A</v>
      </c>
      <c r="H46" s="4" t="b">
        <f t="shared" si="9"/>
        <v>0</v>
      </c>
      <c r="I46" s="4" t="b">
        <f t="shared" si="9"/>
        <v>0</v>
      </c>
      <c r="J46" s="4">
        <f t="shared" si="11"/>
        <v>0</v>
      </c>
      <c r="K46" s="4" t="b">
        <f t="shared" si="12"/>
        <v>0</v>
      </c>
      <c r="M46" s="17" t="b">
        <f t="shared" si="13"/>
        <v>0</v>
      </c>
      <c r="N46" s="4" t="b">
        <f t="shared" si="14"/>
        <v>0</v>
      </c>
      <c r="S46"/>
    </row>
    <row r="47" spans="1:19" ht="12.75">
      <c r="A47" s="20"/>
      <c r="C47" s="4" t="e">
        <f t="shared" si="10"/>
        <v>#N/A</v>
      </c>
      <c r="H47" s="4" t="b">
        <f t="shared" si="9"/>
        <v>0</v>
      </c>
      <c r="I47" s="4" t="b">
        <f t="shared" si="9"/>
        <v>0</v>
      </c>
      <c r="J47" s="4">
        <f t="shared" si="11"/>
        <v>0</v>
      </c>
      <c r="K47" s="4" t="b">
        <f t="shared" si="12"/>
        <v>0</v>
      </c>
      <c r="M47" s="17" t="b">
        <f t="shared" si="13"/>
        <v>0</v>
      </c>
      <c r="N47" s="4" t="b">
        <f t="shared" si="14"/>
        <v>0</v>
      </c>
      <c r="S47"/>
    </row>
    <row r="48" spans="1:19" ht="12.75">
      <c r="A48" s="20"/>
      <c r="C48" s="4" t="e">
        <f t="shared" si="10"/>
        <v>#N/A</v>
      </c>
      <c r="H48" s="4" t="b">
        <f aca="true" t="shared" si="15" ref="H48:I58">IF(ISNUMBER(N153),N153)</f>
        <v>0</v>
      </c>
      <c r="I48" s="4" t="b">
        <f t="shared" si="15"/>
        <v>0</v>
      </c>
      <c r="J48" s="4">
        <f t="shared" si="11"/>
        <v>0</v>
      </c>
      <c r="K48" s="4" t="b">
        <f t="shared" si="12"/>
        <v>0</v>
      </c>
      <c r="M48" s="17" t="b">
        <f t="shared" si="13"/>
        <v>0</v>
      </c>
      <c r="N48" s="4" t="b">
        <f t="shared" si="14"/>
        <v>0</v>
      </c>
      <c r="S48"/>
    </row>
    <row r="49" spans="1:19" ht="12.75">
      <c r="A49" s="20"/>
      <c r="C49" s="4" t="e">
        <f t="shared" si="10"/>
        <v>#N/A</v>
      </c>
      <c r="H49" s="4" t="b">
        <f t="shared" si="15"/>
        <v>0</v>
      </c>
      <c r="I49" s="4" t="b">
        <f t="shared" si="15"/>
        <v>0</v>
      </c>
      <c r="J49" s="4">
        <f t="shared" si="11"/>
        <v>0</v>
      </c>
      <c r="K49" s="4" t="b">
        <f t="shared" si="12"/>
        <v>0</v>
      </c>
      <c r="M49" s="17" t="b">
        <f t="shared" si="13"/>
        <v>0</v>
      </c>
      <c r="N49" s="4" t="b">
        <f t="shared" si="14"/>
        <v>0</v>
      </c>
      <c r="S49"/>
    </row>
    <row r="50" spans="1:19" ht="12.75">
      <c r="A50" s="20"/>
      <c r="C50" s="4" t="e">
        <f t="shared" si="10"/>
        <v>#N/A</v>
      </c>
      <c r="H50" s="4" t="b">
        <f t="shared" si="15"/>
        <v>0</v>
      </c>
      <c r="I50" s="4" t="b">
        <f t="shared" si="15"/>
        <v>0</v>
      </c>
      <c r="J50" s="4">
        <f t="shared" si="11"/>
        <v>0</v>
      </c>
      <c r="K50" s="4" t="b">
        <f t="shared" si="12"/>
        <v>0</v>
      </c>
      <c r="M50" s="17" t="b">
        <f t="shared" si="13"/>
        <v>0</v>
      </c>
      <c r="N50" s="4" t="b">
        <f t="shared" si="14"/>
        <v>0</v>
      </c>
      <c r="S50"/>
    </row>
    <row r="51" spans="1:19" ht="12.75">
      <c r="A51" s="20"/>
      <c r="C51" s="4" t="e">
        <f t="shared" si="10"/>
        <v>#N/A</v>
      </c>
      <c r="H51" s="4" t="b">
        <f t="shared" si="15"/>
        <v>0</v>
      </c>
      <c r="I51" s="4" t="b">
        <f t="shared" si="15"/>
        <v>0</v>
      </c>
      <c r="J51" s="4">
        <f t="shared" si="11"/>
        <v>0</v>
      </c>
      <c r="K51" s="4" t="b">
        <f t="shared" si="12"/>
        <v>0</v>
      </c>
      <c r="M51" s="17" t="b">
        <f t="shared" si="13"/>
        <v>0</v>
      </c>
      <c r="N51" s="4" t="b">
        <f t="shared" si="14"/>
        <v>0</v>
      </c>
      <c r="S51"/>
    </row>
    <row r="52" spans="1:19" ht="12.75">
      <c r="A52" s="20"/>
      <c r="C52" s="4" t="e">
        <f t="shared" si="10"/>
        <v>#N/A</v>
      </c>
      <c r="H52" s="4" t="b">
        <f t="shared" si="15"/>
        <v>0</v>
      </c>
      <c r="I52" s="4" t="b">
        <f t="shared" si="15"/>
        <v>0</v>
      </c>
      <c r="J52" s="4">
        <f t="shared" si="11"/>
        <v>0</v>
      </c>
      <c r="K52" s="4" t="b">
        <f t="shared" si="12"/>
        <v>0</v>
      </c>
      <c r="M52" s="17" t="b">
        <f t="shared" si="13"/>
        <v>0</v>
      </c>
      <c r="N52" s="4" t="b">
        <f t="shared" si="14"/>
        <v>0</v>
      </c>
      <c r="S52"/>
    </row>
    <row r="53" spans="1:19" ht="12.75">
      <c r="A53" s="20"/>
      <c r="C53" s="4" t="e">
        <f t="shared" si="10"/>
        <v>#N/A</v>
      </c>
      <c r="H53" s="4" t="b">
        <f t="shared" si="15"/>
        <v>0</v>
      </c>
      <c r="I53" s="4" t="b">
        <f t="shared" si="15"/>
        <v>0</v>
      </c>
      <c r="J53" s="4">
        <f t="shared" si="11"/>
        <v>0</v>
      </c>
      <c r="K53" s="4" t="b">
        <f t="shared" si="12"/>
        <v>0</v>
      </c>
      <c r="M53" s="17" t="b">
        <f t="shared" si="13"/>
        <v>0</v>
      </c>
      <c r="N53" s="4" t="b">
        <f t="shared" si="14"/>
        <v>0</v>
      </c>
      <c r="S53"/>
    </row>
    <row r="54" spans="1:19" ht="12.75">
      <c r="A54" s="20"/>
      <c r="C54" s="4" t="e">
        <f t="shared" si="10"/>
        <v>#N/A</v>
      </c>
      <c r="H54" s="4" t="b">
        <f t="shared" si="15"/>
        <v>0</v>
      </c>
      <c r="I54" s="4" t="b">
        <f t="shared" si="15"/>
        <v>0</v>
      </c>
      <c r="J54" s="4">
        <f t="shared" si="11"/>
        <v>0</v>
      </c>
      <c r="K54" s="4" t="b">
        <f t="shared" si="12"/>
        <v>0</v>
      </c>
      <c r="M54" s="17" t="b">
        <f t="shared" si="13"/>
        <v>0</v>
      </c>
      <c r="N54" s="4" t="b">
        <f t="shared" si="14"/>
        <v>0</v>
      </c>
      <c r="S54"/>
    </row>
    <row r="55" spans="1:19" ht="12.75">
      <c r="A55" s="20"/>
      <c r="C55" s="4" t="e">
        <f t="shared" si="10"/>
        <v>#N/A</v>
      </c>
      <c r="H55" s="4" t="b">
        <f t="shared" si="15"/>
        <v>0</v>
      </c>
      <c r="I55" s="4" t="b">
        <f t="shared" si="15"/>
        <v>0</v>
      </c>
      <c r="J55" s="4">
        <f t="shared" si="11"/>
        <v>0</v>
      </c>
      <c r="K55" s="4" t="b">
        <f t="shared" si="12"/>
        <v>0</v>
      </c>
      <c r="M55" s="17" t="b">
        <f t="shared" si="13"/>
        <v>0</v>
      </c>
      <c r="N55" s="4" t="b">
        <f t="shared" si="14"/>
        <v>0</v>
      </c>
      <c r="S55"/>
    </row>
    <row r="56" spans="1:19" ht="12.75">
      <c r="A56" s="20"/>
      <c r="C56" s="4" t="e">
        <f t="shared" si="10"/>
        <v>#N/A</v>
      </c>
      <c r="H56" s="4" t="b">
        <f t="shared" si="15"/>
        <v>0</v>
      </c>
      <c r="I56" s="4" t="b">
        <f t="shared" si="15"/>
        <v>0</v>
      </c>
      <c r="J56" s="4">
        <f t="shared" si="11"/>
        <v>0</v>
      </c>
      <c r="K56" s="4" t="b">
        <f t="shared" si="12"/>
        <v>0</v>
      </c>
      <c r="M56" s="17" t="b">
        <f t="shared" si="13"/>
        <v>0</v>
      </c>
      <c r="N56" s="4" t="b">
        <f t="shared" si="14"/>
        <v>0</v>
      </c>
      <c r="S56"/>
    </row>
    <row r="57" spans="1:14" ht="12.75">
      <c r="A57" s="20"/>
      <c r="C57" s="4" t="e">
        <f t="shared" si="10"/>
        <v>#N/A</v>
      </c>
      <c r="H57" s="4" t="b">
        <f t="shared" si="15"/>
        <v>0</v>
      </c>
      <c r="I57" s="4" t="b">
        <f t="shared" si="15"/>
        <v>0</v>
      </c>
      <c r="J57" s="4">
        <f t="shared" si="11"/>
        <v>0</v>
      </c>
      <c r="K57" s="4" t="b">
        <f t="shared" si="12"/>
        <v>0</v>
      </c>
      <c r="M57" s="17" t="b">
        <f t="shared" si="13"/>
        <v>0</v>
      </c>
      <c r="N57" s="4" t="b">
        <f t="shared" si="14"/>
        <v>0</v>
      </c>
    </row>
    <row r="58" spans="1:14" ht="12.75">
      <c r="A58" s="20"/>
      <c r="C58" s="4" t="e">
        <f t="shared" si="10"/>
        <v>#N/A</v>
      </c>
      <c r="H58" s="4" t="b">
        <f t="shared" si="15"/>
        <v>0</v>
      </c>
      <c r="I58" s="4" t="b">
        <f t="shared" si="15"/>
        <v>0</v>
      </c>
      <c r="J58" s="4">
        <f t="shared" si="11"/>
        <v>0</v>
      </c>
      <c r="K58" s="4" t="b">
        <f t="shared" si="12"/>
        <v>0</v>
      </c>
      <c r="M58" s="17" t="b">
        <f t="shared" si="13"/>
        <v>0</v>
      </c>
      <c r="N58" s="4" t="b">
        <f t="shared" si="14"/>
        <v>0</v>
      </c>
    </row>
    <row r="59" ht="12.75">
      <c r="A59" s="20"/>
    </row>
    <row r="60" spans="1:14" ht="13.5" thickBot="1">
      <c r="A60" s="19"/>
      <c r="L60" s="4" t="s">
        <v>31</v>
      </c>
      <c r="M60" s="17">
        <f>SUM(M8:M58)</f>
        <v>18.143999999999995</v>
      </c>
      <c r="N60" s="17">
        <f>SUM(N8:N58)</f>
        <v>2.3198757642937333</v>
      </c>
    </row>
    <row r="61" ht="13.5" thickTop="1">
      <c r="A61" s="75"/>
    </row>
    <row r="67" spans="10:11" ht="12.75">
      <c r="J67" s="4">
        <v>10</v>
      </c>
      <c r="K67" s="4">
        <f>IF(J67&gt;10,1,0)</f>
        <v>0</v>
      </c>
    </row>
    <row r="73" ht="12.75">
      <c r="S73" s="9"/>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spans="22:26" ht="12.75" hidden="1">
      <c r="V103" t="s">
        <v>32</v>
      </c>
      <c r="Z103" t="s">
        <v>33</v>
      </c>
    </row>
    <row r="104" spans="22:27" ht="12.75" hidden="1">
      <c r="V104" t="s">
        <v>34</v>
      </c>
      <c r="W104">
        <f>SLOPE(I8:I58,H8:H58)</f>
        <v>0.7197096050583514</v>
      </c>
      <c r="Z104" t="s">
        <v>11</v>
      </c>
      <c r="AA104" t="s">
        <v>35</v>
      </c>
    </row>
    <row r="105" spans="22:27" ht="12.75" hidden="1">
      <c r="V105" t="s">
        <v>36</v>
      </c>
      <c r="W105">
        <f>INTERCEPT(I8:I58,H8:H58)</f>
        <v>3.0711782584436182</v>
      </c>
      <c r="Y105" s="11" t="s">
        <v>37</v>
      </c>
      <c r="Z105" s="7">
        <f>F8</f>
        <v>10</v>
      </c>
      <c r="AA105">
        <f>(W104*Z105)+W105</f>
        <v>10.268274309027131</v>
      </c>
    </row>
    <row r="106" spans="25:27" ht="12.75" hidden="1">
      <c r="Y106" t="s">
        <v>38</v>
      </c>
      <c r="Z106">
        <f>N113</f>
        <v>1.2</v>
      </c>
      <c r="AA106">
        <f>(W104*Z106)+W105</f>
        <v>3.93482978451364</v>
      </c>
    </row>
    <row r="107" spans="22:24" ht="12.75" hidden="1">
      <c r="V107" t="s">
        <v>39</v>
      </c>
      <c r="W107" t="s">
        <v>11</v>
      </c>
      <c r="X107" t="s">
        <v>35</v>
      </c>
    </row>
    <row r="108" spans="23:25" ht="12.75" hidden="1">
      <c r="W108" s="1">
        <f>(X108-W105)/W104</f>
        <v>-0.793623225852751</v>
      </c>
      <c r="X108">
        <v>2.5</v>
      </c>
      <c r="Y108" t="s">
        <v>40</v>
      </c>
    </row>
    <row r="109" spans="23:24" ht="12.75" hidden="1">
      <c r="W109" s="1">
        <f>(X109-W105)/W104</f>
        <v>5.917416846494764</v>
      </c>
      <c r="X109">
        <v>7.33</v>
      </c>
    </row>
    <row r="110" ht="12.75" hidden="1"/>
    <row r="111" spans="3:13" ht="12.75" hidden="1">
      <c r="C111" s="4" t="s">
        <v>41</v>
      </c>
      <c r="M111" s="4" t="s">
        <v>42</v>
      </c>
    </row>
    <row r="112" spans="1:22" ht="12.75" hidden="1">
      <c r="A112" s="21" t="s">
        <v>43</v>
      </c>
      <c r="D112" s="4" t="s">
        <v>44</v>
      </c>
      <c r="I112" s="4" t="s">
        <v>45</v>
      </c>
      <c r="J112" s="4" t="s">
        <v>46</v>
      </c>
      <c r="K112" s="4" t="s">
        <v>47</v>
      </c>
      <c r="M112" s="4" t="s">
        <v>48</v>
      </c>
      <c r="N112" s="4" t="s">
        <v>49</v>
      </c>
      <c r="O112" s="4" t="s">
        <v>47</v>
      </c>
      <c r="P112" s="4" t="s">
        <v>8</v>
      </c>
      <c r="S112" s="8" t="s">
        <v>50</v>
      </c>
      <c r="T112" t="s">
        <v>51</v>
      </c>
      <c r="V112" t="s">
        <v>52</v>
      </c>
    </row>
    <row r="113" spans="1:23" ht="12.75" hidden="1">
      <c r="A113" s="21">
        <f aca="true" t="shared" si="16" ref="A113:A144">A11</f>
        <v>1.3</v>
      </c>
      <c r="D113" s="6">
        <f>$T$6</f>
        <v>5.5</v>
      </c>
      <c r="I113" s="4">
        <f>IF(ISNUMBER(J113),M113)</f>
        <v>1</v>
      </c>
      <c r="J113" s="4">
        <f aca="true" t="shared" si="17" ref="J113:J128">IF(A113&gt;0,A113,NA())</f>
        <v>1.3</v>
      </c>
      <c r="K113" s="4">
        <f aca="true" t="shared" si="18" ref="K113:K144">NORMSINV(S113)+5</f>
        <v>3.718448434455399</v>
      </c>
      <c r="M113" s="4">
        <v>1</v>
      </c>
      <c r="N113" s="4">
        <f aca="true" t="shared" si="19" ref="N113:N144">IF(M113&lt;$T$5+1,SMALL($A$11:$A$61,M113),NA())</f>
        <v>1.2</v>
      </c>
      <c r="O113" s="4">
        <f aca="true" t="shared" si="20" ref="O113:O144">NORMSINV(P113)+5</f>
        <v>3.465879455647454</v>
      </c>
      <c r="P113" s="4">
        <f aca="true" t="shared" si="21" ref="P113:P144">IF(M113&lt;$T$5+1,((M113)/($T$5+1)),NA())</f>
        <v>0.0625</v>
      </c>
      <c r="S113" s="8">
        <f aca="true" t="shared" si="22" ref="S113:S144">((T113-0.5)/$T$5)</f>
        <v>0.1</v>
      </c>
      <c r="T113" s="3">
        <f aca="true" t="shared" si="23" ref="T113:T144">RANK(A11,$A$11:$A$61,1)</f>
        <v>2</v>
      </c>
      <c r="V113" t="s">
        <v>34</v>
      </c>
      <c r="W113">
        <f>SLOPE(I8:I58,K8:K58)</f>
        <v>2.098574765166074</v>
      </c>
    </row>
    <row r="114" spans="1:23" ht="12.75" hidden="1">
      <c r="A114" s="21">
        <f t="shared" si="16"/>
        <v>1.8</v>
      </c>
      <c r="C114" s="4">
        <v>0.0001</v>
      </c>
      <c r="D114" s="5">
        <f>IF(AND(0.00001&lt;$D$113,$D$113&lt;=0.0001),0.0001,0)</f>
        <v>0</v>
      </c>
      <c r="I114" s="4">
        <f aca="true" t="shared" si="24" ref="I114:I129">IF(ISNUMBER(J114),M114)</f>
        <v>2</v>
      </c>
      <c r="J114" s="4">
        <f t="shared" si="17"/>
        <v>1.8</v>
      </c>
      <c r="K114" s="4">
        <f t="shared" si="18"/>
        <v>4.0325784338982995</v>
      </c>
      <c r="M114" s="4">
        <v>2</v>
      </c>
      <c r="N114" s="4">
        <f t="shared" si="19"/>
        <v>1.3</v>
      </c>
      <c r="O114" s="4">
        <f t="shared" si="20"/>
        <v>3.8496506196239917</v>
      </c>
      <c r="P114" s="4">
        <f t="shared" si="21"/>
        <v>0.125</v>
      </c>
      <c r="S114" s="8">
        <f t="shared" si="22"/>
        <v>0.16666666666666666</v>
      </c>
      <c r="T114" s="3">
        <f t="shared" si="23"/>
        <v>3</v>
      </c>
      <c r="V114" t="s">
        <v>36</v>
      </c>
      <c r="W114">
        <f>INTERCEPT(I8:I58,K8:K58)</f>
        <v>3.0946906135192185</v>
      </c>
    </row>
    <row r="115" spans="1:20" ht="12.75" hidden="1">
      <c r="A115" s="21">
        <f t="shared" si="16"/>
        <v>1.2</v>
      </c>
      <c r="C115" s="4">
        <v>0.001</v>
      </c>
      <c r="D115" s="4">
        <f>IF(AND(0.0001&lt;$D$113,$D$113&lt;=0.001),0.001,0)</f>
        <v>0</v>
      </c>
      <c r="I115" s="4">
        <f t="shared" si="24"/>
        <v>3</v>
      </c>
      <c r="J115" s="4">
        <f t="shared" si="17"/>
        <v>1.2</v>
      </c>
      <c r="K115" s="4">
        <f t="shared" si="18"/>
        <v>3.166085364184086</v>
      </c>
      <c r="M115" s="4">
        <v>3</v>
      </c>
      <c r="N115" s="4">
        <f t="shared" si="19"/>
        <v>1.8</v>
      </c>
      <c r="O115" s="4">
        <f t="shared" si="20"/>
        <v>4.112853440981124</v>
      </c>
      <c r="P115" s="4">
        <f t="shared" si="21"/>
        <v>0.1875</v>
      </c>
      <c r="S115" s="8">
        <f t="shared" si="22"/>
        <v>0.03333333333333333</v>
      </c>
      <c r="T115" s="3">
        <f t="shared" si="23"/>
        <v>1</v>
      </c>
    </row>
    <row r="116" spans="1:25" ht="12.75" hidden="1">
      <c r="A116" s="21">
        <f t="shared" si="16"/>
        <v>4.5</v>
      </c>
      <c r="C116" s="4">
        <v>0.01</v>
      </c>
      <c r="D116" s="4">
        <f>IF(AND(0.001&lt;$D$113,$D$113&lt;=0.01),0.01,0)</f>
        <v>0</v>
      </c>
      <c r="I116" s="4">
        <f t="shared" si="24"/>
        <v>4</v>
      </c>
      <c r="J116" s="4">
        <f t="shared" si="17"/>
        <v>4.5</v>
      </c>
      <c r="K116" s="4">
        <f t="shared" si="18"/>
        <v>6.281551565544601</v>
      </c>
      <c r="M116" s="4">
        <v>4</v>
      </c>
      <c r="N116" s="4">
        <f t="shared" si="19"/>
        <v>2</v>
      </c>
      <c r="O116" s="4">
        <f t="shared" si="20"/>
        <v>4.325510249803918</v>
      </c>
      <c r="P116" s="4">
        <f t="shared" si="21"/>
        <v>0.25</v>
      </c>
      <c r="S116" s="8">
        <f t="shared" si="22"/>
        <v>0.9</v>
      </c>
      <c r="T116" s="3">
        <f t="shared" si="23"/>
        <v>14</v>
      </c>
      <c r="V116" t="s">
        <v>39</v>
      </c>
      <c r="W116" t="s">
        <v>11</v>
      </c>
      <c r="X116" t="s">
        <v>35</v>
      </c>
      <c r="Y116" t="s">
        <v>53</v>
      </c>
    </row>
    <row r="117" spans="1:25" ht="12.75" hidden="1">
      <c r="A117" s="21">
        <f t="shared" si="16"/>
        <v>2</v>
      </c>
      <c r="C117" s="4">
        <v>0.1</v>
      </c>
      <c r="D117" s="4">
        <f>IF(AND(0.01&lt;$D$113,$D$113&lt;=0.1),0.1,0)</f>
        <v>0</v>
      </c>
      <c r="I117" s="4">
        <f t="shared" si="24"/>
        <v>5</v>
      </c>
      <c r="J117" s="4">
        <f t="shared" si="17"/>
        <v>2</v>
      </c>
      <c r="K117" s="4">
        <f t="shared" si="18"/>
        <v>4.272086709118355</v>
      </c>
      <c r="M117" s="4">
        <v>5</v>
      </c>
      <c r="N117" s="4">
        <f t="shared" si="19"/>
        <v>2.1</v>
      </c>
      <c r="O117" s="4">
        <f t="shared" si="20"/>
        <v>4.511223588885331</v>
      </c>
      <c r="P117" s="4">
        <f t="shared" si="21"/>
        <v>0.3125</v>
      </c>
      <c r="S117" s="8">
        <f t="shared" si="22"/>
        <v>0.23333333333333334</v>
      </c>
      <c r="T117" s="3">
        <f t="shared" si="23"/>
        <v>4</v>
      </c>
      <c r="V117" t="s">
        <v>54</v>
      </c>
      <c r="W117" s="1">
        <f>EXP(Y117)</f>
        <v>0.753234762212772</v>
      </c>
      <c r="X117">
        <v>2.5</v>
      </c>
      <c r="Y117">
        <f>(X117-W114)/W113</f>
        <v>-0.28337833056529516</v>
      </c>
    </row>
    <row r="118" spans="1:25" ht="12.75" hidden="1">
      <c r="A118" s="21">
        <f t="shared" si="16"/>
        <v>2.1</v>
      </c>
      <c r="C118" s="4">
        <v>1</v>
      </c>
      <c r="D118" s="4">
        <f>IF(AND(0.1&lt;$D$113,$D$113&lt;=1),1,0)</f>
        <v>0</v>
      </c>
      <c r="I118" s="4">
        <f t="shared" si="24"/>
        <v>6</v>
      </c>
      <c r="J118" s="4">
        <f t="shared" si="17"/>
        <v>2.1</v>
      </c>
      <c r="K118" s="4">
        <f t="shared" si="18"/>
        <v>4.475599487291959</v>
      </c>
      <c r="M118" s="4">
        <v>6</v>
      </c>
      <c r="N118" s="4">
        <f t="shared" si="19"/>
        <v>2.2</v>
      </c>
      <c r="O118" s="4">
        <f t="shared" si="20"/>
        <v>4.681360636035625</v>
      </c>
      <c r="P118" s="4">
        <f t="shared" si="21"/>
        <v>0.375</v>
      </c>
      <c r="S118" s="8">
        <f t="shared" si="22"/>
        <v>0.3</v>
      </c>
      <c r="T118" s="3">
        <f t="shared" si="23"/>
        <v>5</v>
      </c>
      <c r="V118" t="s">
        <v>55</v>
      </c>
      <c r="W118" s="1">
        <f>EXP(Y118)</f>
        <v>7.524645508679545</v>
      </c>
      <c r="X118">
        <v>7.33</v>
      </c>
      <c r="Y118">
        <f>(X118-W114)/W113</f>
        <v>2.0181837010441765</v>
      </c>
    </row>
    <row r="119" spans="1:20" ht="12.75" hidden="1">
      <c r="A119" s="21">
        <f t="shared" si="16"/>
        <v>5.5</v>
      </c>
      <c r="C119" s="4">
        <v>10</v>
      </c>
      <c r="D119" s="4">
        <f>IF(AND(1&lt;$D$113,$D$113&lt;=10),10,0)</f>
        <v>10</v>
      </c>
      <c r="I119" s="4">
        <f t="shared" si="24"/>
        <v>7</v>
      </c>
      <c r="J119" s="4">
        <f t="shared" si="17"/>
        <v>5.5</v>
      </c>
      <c r="K119" s="4">
        <f t="shared" si="18"/>
        <v>6.833914635815914</v>
      </c>
      <c r="M119" s="4">
        <v>7</v>
      </c>
      <c r="N119" s="4">
        <f t="shared" si="19"/>
        <v>2.4</v>
      </c>
      <c r="O119" s="4">
        <f t="shared" si="20"/>
        <v>4.842689315389829</v>
      </c>
      <c r="P119" s="4">
        <f t="shared" si="21"/>
        <v>0.4375</v>
      </c>
      <c r="S119" s="8">
        <f t="shared" si="22"/>
        <v>0.9666666666666667</v>
      </c>
      <c r="T119" s="3">
        <f t="shared" si="23"/>
        <v>15</v>
      </c>
    </row>
    <row r="120" spans="1:20" ht="12.75" hidden="1">
      <c r="A120" s="21">
        <f t="shared" si="16"/>
        <v>2.2</v>
      </c>
      <c r="C120" s="4">
        <v>100</v>
      </c>
      <c r="D120" s="4">
        <f>IF(AND(10&lt;$D$113,$D$113&lt;=100),100,0)</f>
        <v>0</v>
      </c>
      <c r="I120" s="4">
        <f t="shared" si="24"/>
        <v>8</v>
      </c>
      <c r="J120" s="4">
        <f t="shared" si="17"/>
        <v>2.2</v>
      </c>
      <c r="K120" s="4">
        <f t="shared" si="18"/>
        <v>4.659305172912204</v>
      </c>
      <c r="M120" s="4">
        <v>8</v>
      </c>
      <c r="N120" s="4">
        <f t="shared" si="19"/>
        <v>2.5</v>
      </c>
      <c r="O120" s="4">
        <f t="shared" si="20"/>
        <v>5</v>
      </c>
      <c r="P120" s="4">
        <f t="shared" si="21"/>
        <v>0.5</v>
      </c>
      <c r="S120" s="8">
        <f t="shared" si="22"/>
        <v>0.36666666666666664</v>
      </c>
      <c r="T120" s="3">
        <f t="shared" si="23"/>
        <v>6</v>
      </c>
    </row>
    <row r="121" spans="1:32" ht="12.75" hidden="1">
      <c r="A121" s="21">
        <f t="shared" si="16"/>
        <v>3</v>
      </c>
      <c r="C121" s="4">
        <v>1000</v>
      </c>
      <c r="D121" s="4">
        <f>IF(AND(100&lt;$D$113,$D$113&lt;=1000),1000,0)</f>
        <v>0</v>
      </c>
      <c r="I121" s="4">
        <f t="shared" si="24"/>
        <v>9</v>
      </c>
      <c r="J121" s="4">
        <f t="shared" si="17"/>
        <v>3</v>
      </c>
      <c r="K121" s="4">
        <f t="shared" si="18"/>
        <v>5.727913290881645</v>
      </c>
      <c r="M121" s="4">
        <v>9</v>
      </c>
      <c r="N121" s="4">
        <f t="shared" si="19"/>
        <v>2.5</v>
      </c>
      <c r="O121" s="4">
        <f t="shared" si="20"/>
        <v>5.157310684610171</v>
      </c>
      <c r="P121" s="4">
        <f t="shared" si="21"/>
        <v>0.5625</v>
      </c>
      <c r="S121" s="8">
        <f t="shared" si="22"/>
        <v>0.7666666666666667</v>
      </c>
      <c r="T121" s="3">
        <f t="shared" si="23"/>
        <v>12</v>
      </c>
      <c r="Z121" t="s">
        <v>56</v>
      </c>
      <c r="AD121" t="s">
        <v>57</v>
      </c>
      <c r="AF121" t="s">
        <v>58</v>
      </c>
    </row>
    <row r="122" spans="1:33" ht="12.75" hidden="1">
      <c r="A122" s="21">
        <f t="shared" si="16"/>
        <v>2.4</v>
      </c>
      <c r="C122" s="4">
        <v>10000</v>
      </c>
      <c r="D122" s="4">
        <f>IF(AND(1000&lt;$D$113,$D$113&lt;=10000),10000,0)</f>
        <v>0</v>
      </c>
      <c r="I122" s="4">
        <f t="shared" si="24"/>
        <v>10</v>
      </c>
      <c r="J122" s="4">
        <f t="shared" si="17"/>
        <v>2.4</v>
      </c>
      <c r="K122" s="4">
        <f t="shared" si="18"/>
        <v>4.8321059952118945</v>
      </c>
      <c r="M122" s="4">
        <v>10</v>
      </c>
      <c r="N122" s="4">
        <f t="shared" si="19"/>
        <v>2.8</v>
      </c>
      <c r="O122" s="4">
        <f t="shared" si="20"/>
        <v>5.318639363964375</v>
      </c>
      <c r="P122" s="4">
        <f t="shared" si="21"/>
        <v>0.625</v>
      </c>
      <c r="S122" s="8">
        <f t="shared" si="22"/>
        <v>0.43333333333333335</v>
      </c>
      <c r="T122" s="3">
        <f t="shared" si="23"/>
        <v>7</v>
      </c>
      <c r="V122" t="s">
        <v>59</v>
      </c>
      <c r="X122" t="s">
        <v>60</v>
      </c>
      <c r="Z122" t="s">
        <v>61</v>
      </c>
      <c r="AA122">
        <f>NORMSINV(0.95)</f>
        <v>1.6448536269514715</v>
      </c>
      <c r="AD122" t="s">
        <v>62</v>
      </c>
      <c r="AE122" s="7">
        <f>T5</f>
        <v>15</v>
      </c>
      <c r="AF122" t="s">
        <v>62</v>
      </c>
      <c r="AG122">
        <f>T5</f>
        <v>15</v>
      </c>
    </row>
    <row r="123" spans="1:33" ht="12.75" hidden="1">
      <c r="A123" s="21">
        <f t="shared" si="16"/>
        <v>2.5</v>
      </c>
      <c r="D123" s="5">
        <f>SUM(D114:D122)</f>
        <v>10</v>
      </c>
      <c r="I123" s="4">
        <f t="shared" si="24"/>
        <v>11</v>
      </c>
      <c r="J123" s="4">
        <f t="shared" si="17"/>
        <v>2.5</v>
      </c>
      <c r="K123" s="4">
        <f t="shared" si="18"/>
        <v>5</v>
      </c>
      <c r="M123" s="4">
        <v>11</v>
      </c>
      <c r="N123" s="4">
        <f t="shared" si="19"/>
        <v>2.9</v>
      </c>
      <c r="O123" s="4">
        <f t="shared" si="20"/>
        <v>5.488776411114669</v>
      </c>
      <c r="P123" s="4">
        <f t="shared" si="21"/>
        <v>0.6875</v>
      </c>
      <c r="S123" s="8">
        <f t="shared" si="22"/>
        <v>0.5</v>
      </c>
      <c r="T123" s="3">
        <f t="shared" si="23"/>
        <v>8</v>
      </c>
      <c r="V123" t="s">
        <v>63</v>
      </c>
      <c r="W123" s="7">
        <f>T13</f>
        <v>0.9079063648847421</v>
      </c>
      <c r="Z123" t="s">
        <v>64</v>
      </c>
      <c r="AA123">
        <f>NORMSINV(LOGNORMDIST($A$5,$W$123,$W$124))</f>
        <v>1.7233713140868827</v>
      </c>
      <c r="AB123">
        <f>LOGNORMDIST($A$5,$W$123,$W$124)</f>
        <v>0.9575893005185412</v>
      </c>
      <c r="AD123" t="s">
        <v>65</v>
      </c>
      <c r="AE123" s="7">
        <f>T13</f>
        <v>0.9079063648847421</v>
      </c>
      <c r="AF123" t="s">
        <v>29</v>
      </c>
      <c r="AG123" s="7">
        <f>T10</f>
        <v>2.6799999999999997</v>
      </c>
    </row>
    <row r="124" spans="1:33" ht="12.75" hidden="1">
      <c r="A124" s="21">
        <f t="shared" si="16"/>
        <v>2.5</v>
      </c>
      <c r="I124" s="4">
        <f t="shared" si="24"/>
        <v>12</v>
      </c>
      <c r="J124" s="4">
        <f t="shared" si="17"/>
        <v>2.5</v>
      </c>
      <c r="K124" s="4">
        <f t="shared" si="18"/>
        <v>5</v>
      </c>
      <c r="M124" s="4">
        <v>12</v>
      </c>
      <c r="N124" s="4">
        <f t="shared" si="19"/>
        <v>3</v>
      </c>
      <c r="O124" s="4">
        <f t="shared" si="20"/>
        <v>5.674489750196082</v>
      </c>
      <c r="P124" s="4">
        <f t="shared" si="21"/>
        <v>0.75</v>
      </c>
      <c r="S124" s="8">
        <f t="shared" si="22"/>
        <v>0.5</v>
      </c>
      <c r="T124" s="3">
        <f t="shared" si="23"/>
        <v>8</v>
      </c>
      <c r="V124" t="s">
        <v>66</v>
      </c>
      <c r="W124" s="7">
        <f>T14</f>
        <v>0.4070692959868953</v>
      </c>
      <c r="Z124" t="s">
        <v>67</v>
      </c>
      <c r="AA124">
        <f>(1/((2*$W$125)-3))-(1/($AA$122^2))</f>
        <v>-0.3325744724311584</v>
      </c>
      <c r="AD124" t="s">
        <v>68</v>
      </c>
      <c r="AE124" s="7">
        <f>T14</f>
        <v>0.4070692959868953</v>
      </c>
      <c r="AF124" t="s">
        <v>69</v>
      </c>
      <c r="AG124" s="7">
        <f>T12</f>
        <v>1.1384199576606175</v>
      </c>
    </row>
    <row r="125" spans="1:33" ht="12.75" hidden="1">
      <c r="A125" s="21">
        <f t="shared" si="16"/>
        <v>3.5</v>
      </c>
      <c r="I125" s="4">
        <f t="shared" si="24"/>
        <v>13</v>
      </c>
      <c r="J125" s="4">
        <f t="shared" si="17"/>
        <v>3.5</v>
      </c>
      <c r="K125" s="4">
        <f t="shared" si="18"/>
        <v>5.9674215661017005</v>
      </c>
      <c r="M125" s="4">
        <v>13</v>
      </c>
      <c r="N125" s="4">
        <f t="shared" si="19"/>
        <v>3.5</v>
      </c>
      <c r="O125" s="4">
        <f t="shared" si="20"/>
        <v>5.887146559018876</v>
      </c>
      <c r="P125" s="4">
        <f t="shared" si="21"/>
        <v>0.8125</v>
      </c>
      <c r="S125" s="8">
        <f t="shared" si="22"/>
        <v>0.8333333333333334</v>
      </c>
      <c r="T125" s="3">
        <f t="shared" si="23"/>
        <v>13</v>
      </c>
      <c r="V125" t="s">
        <v>62</v>
      </c>
      <c r="W125" s="7">
        <f>T5</f>
        <v>15</v>
      </c>
      <c r="Z125" t="s">
        <v>70</v>
      </c>
      <c r="AA125">
        <f>((2*$AA$123)/($AA$122^2))*SQRT(((2*$W$125)-3)/((2*$W$125)-2))</f>
        <v>1.25099970771346</v>
      </c>
      <c r="AD125" t="s">
        <v>71</v>
      </c>
      <c r="AE125">
        <f>VLOOKUP(AE122,AD135:AE182,2)</f>
        <v>2.566</v>
      </c>
      <c r="AF125" t="s">
        <v>71</v>
      </c>
      <c r="AG125">
        <f>AE125</f>
        <v>2.566</v>
      </c>
    </row>
    <row r="126" spans="1:33" ht="12.75" hidden="1">
      <c r="A126" s="21">
        <f t="shared" si="16"/>
        <v>2.8</v>
      </c>
      <c r="I126" s="4">
        <f t="shared" si="24"/>
        <v>14</v>
      </c>
      <c r="J126" s="4">
        <f t="shared" si="17"/>
        <v>2.8</v>
      </c>
      <c r="K126" s="4">
        <f t="shared" si="18"/>
        <v>5.340694827087796</v>
      </c>
      <c r="M126" s="4">
        <v>14</v>
      </c>
      <c r="N126" s="4">
        <f t="shared" si="19"/>
        <v>4.5</v>
      </c>
      <c r="O126" s="4">
        <f t="shared" si="20"/>
        <v>6.150349380376008</v>
      </c>
      <c r="P126" s="4">
        <f t="shared" si="21"/>
        <v>0.875</v>
      </c>
      <c r="S126" s="8">
        <f t="shared" si="22"/>
        <v>0.6333333333333333</v>
      </c>
      <c r="T126" s="3">
        <f t="shared" si="23"/>
        <v>10</v>
      </c>
      <c r="V126" t="s">
        <v>72</v>
      </c>
      <c r="W126">
        <f>((W124)^2)/2</f>
        <v>0.08285270586763328</v>
      </c>
      <c r="Z126" t="s">
        <v>73</v>
      </c>
      <c r="AA126">
        <f>(1/$W$125)-((($AA$123^2)/($AA$122^2))*(((2*$W$125)-3)/((2*$W$125)-2)))</f>
        <v>-0.9918773914924779</v>
      </c>
      <c r="AD126" t="s">
        <v>74</v>
      </c>
      <c r="AE126">
        <f>EXP(AE123+(AE125*AE124))</f>
        <v>7.045902050486842</v>
      </c>
      <c r="AF126" t="s">
        <v>74</v>
      </c>
      <c r="AG126">
        <f>AG123+(AG125*AG124)</f>
        <v>5.601185611357144</v>
      </c>
    </row>
    <row r="127" spans="1:24" ht="12.75" hidden="1">
      <c r="A127" s="21">
        <f t="shared" si="16"/>
        <v>2.9</v>
      </c>
      <c r="I127" s="4">
        <f t="shared" si="24"/>
        <v>15</v>
      </c>
      <c r="J127" s="4">
        <f t="shared" si="17"/>
        <v>2.9</v>
      </c>
      <c r="K127" s="4">
        <f t="shared" si="18"/>
        <v>5.5244005127080404</v>
      </c>
      <c r="M127" s="4">
        <v>15</v>
      </c>
      <c r="N127" s="4">
        <f t="shared" si="19"/>
        <v>5.5</v>
      </c>
      <c r="O127" s="4">
        <f t="shared" si="20"/>
        <v>6.534120544352547</v>
      </c>
      <c r="P127" s="4">
        <f t="shared" si="21"/>
        <v>0.9375</v>
      </c>
      <c r="S127" s="8">
        <f t="shared" si="22"/>
        <v>0.7</v>
      </c>
      <c r="T127" s="3">
        <f t="shared" si="23"/>
        <v>11</v>
      </c>
      <c r="W127">
        <v>1</v>
      </c>
      <c r="X127">
        <v>1</v>
      </c>
    </row>
    <row r="128" spans="1:27" ht="12.75" hidden="1">
      <c r="A128" s="21">
        <f t="shared" si="16"/>
        <v>0</v>
      </c>
      <c r="I128" s="4" t="b">
        <f t="shared" si="24"/>
        <v>0</v>
      </c>
      <c r="J128" s="4" t="e">
        <f t="shared" si="17"/>
        <v>#N/A</v>
      </c>
      <c r="K128" s="4" t="e">
        <f t="shared" si="18"/>
        <v>#N/A</v>
      </c>
      <c r="M128" s="4">
        <v>16</v>
      </c>
      <c r="N128" s="4" t="e">
        <f t="shared" si="19"/>
        <v>#N/A</v>
      </c>
      <c r="O128" s="4" t="e">
        <f t="shared" si="20"/>
        <v>#N/A</v>
      </c>
      <c r="P128" s="4" t="e">
        <f t="shared" si="21"/>
        <v>#N/A</v>
      </c>
      <c r="S128" s="8" t="e">
        <f t="shared" si="22"/>
        <v>#N/A</v>
      </c>
      <c r="T128" s="3" t="e">
        <f t="shared" si="23"/>
        <v>#N/A</v>
      </c>
      <c r="V128" t="s">
        <v>75</v>
      </c>
      <c r="W128">
        <f>($W$125-1)*((($W$124)^2)/2)/$W$125</f>
        <v>0.0773291921431244</v>
      </c>
      <c r="X128">
        <f>($W$125-1)*$W$126/$W$125</f>
        <v>0.0773291921431244</v>
      </c>
      <c r="Z128" t="s">
        <v>76</v>
      </c>
      <c r="AA128">
        <f>$AA$125^2</f>
        <v>1.5650002686991624</v>
      </c>
    </row>
    <row r="129" spans="1:28" ht="12.75" hidden="1">
      <c r="A129" s="21">
        <f t="shared" si="16"/>
        <v>0</v>
      </c>
      <c r="I129" s="4" t="b">
        <f t="shared" si="24"/>
        <v>0</v>
      </c>
      <c r="J129" s="4" t="e">
        <f aca="true" t="shared" si="25" ref="J129:J144">IF(A129&gt;0,A129,NA())</f>
        <v>#N/A</v>
      </c>
      <c r="K129" s="4" t="e">
        <f t="shared" si="18"/>
        <v>#N/A</v>
      </c>
      <c r="M129" s="4">
        <v>17</v>
      </c>
      <c r="N129" s="4" t="e">
        <f t="shared" si="19"/>
        <v>#N/A</v>
      </c>
      <c r="O129" s="4" t="e">
        <f t="shared" si="20"/>
        <v>#N/A</v>
      </c>
      <c r="P129" s="4" t="e">
        <f t="shared" si="21"/>
        <v>#N/A</v>
      </c>
      <c r="S129" s="8" t="e">
        <f t="shared" si="22"/>
        <v>#N/A</v>
      </c>
      <c r="T129" s="3" t="e">
        <f t="shared" si="23"/>
        <v>#N/A</v>
      </c>
      <c r="V129" t="s">
        <v>77</v>
      </c>
      <c r="W129">
        <f>(($W$125-1)^3)*(((($W$124)^2)/2)^2)/(FACT(2)*(($W$125)^2)*($W$125+1))</f>
        <v>0.0026161642314098603</v>
      </c>
      <c r="X129">
        <f>(($W$125-1)^3)*(($W$126)^2)/((FACT(2))*(($W$125)^2)*($W$125+1))</f>
        <v>0.0026161642314098603</v>
      </c>
      <c r="Z129" t="s">
        <v>78</v>
      </c>
      <c r="AA129">
        <f>4*$AA$124*$AA$126</f>
        <v>1.3194924007680175</v>
      </c>
      <c r="AB129">
        <f>AB130+AA129</f>
        <v>1.5650002686991624</v>
      </c>
    </row>
    <row r="130" spans="1:28" ht="12.75" hidden="1">
      <c r="A130" s="21">
        <f t="shared" si="16"/>
        <v>0</v>
      </c>
      <c r="I130" s="4" t="b">
        <f aca="true" t="shared" si="26" ref="I130:I145">IF(ISNUMBER(J130),M130)</f>
        <v>0</v>
      </c>
      <c r="J130" s="4" t="e">
        <f t="shared" si="25"/>
        <v>#N/A</v>
      </c>
      <c r="K130" s="4" t="e">
        <f t="shared" si="18"/>
        <v>#N/A</v>
      </c>
      <c r="M130" s="4">
        <v>18</v>
      </c>
      <c r="N130" s="4" t="e">
        <f t="shared" si="19"/>
        <v>#N/A</v>
      </c>
      <c r="O130" s="4" t="e">
        <f t="shared" si="20"/>
        <v>#N/A</v>
      </c>
      <c r="P130" s="4" t="e">
        <f t="shared" si="21"/>
        <v>#N/A</v>
      </c>
      <c r="S130" s="8" t="e">
        <f t="shared" si="22"/>
        <v>#N/A</v>
      </c>
      <c r="T130" s="3" t="e">
        <f t="shared" si="23"/>
        <v>#N/A</v>
      </c>
      <c r="V130" t="s">
        <v>79</v>
      </c>
      <c r="W130">
        <f>(($W$125-1)^5)*(((($W$124)^2)/2)^3)/(FACT(3)*(($W$125)^3)*($W$125+1)*($W$125+3))</f>
        <v>5.2449669100023595E-05</v>
      </c>
      <c r="X130">
        <f>(($W$125-1)^5)*(($W$126)^3)/((FACT(3))*(($W$125)^3)*($W$125+1)*($W$125+3))</f>
        <v>5.2449669100023595E-05</v>
      </c>
      <c r="Z130" t="s">
        <v>80</v>
      </c>
      <c r="AA130">
        <f>SQRT($AA$128-$AA$129)</f>
        <v>0.49548750532293434</v>
      </c>
      <c r="AB130">
        <f>AA130^2</f>
        <v>0.24550786793114487</v>
      </c>
    </row>
    <row r="131" spans="1:27" ht="12.75" hidden="1">
      <c r="A131" s="21">
        <f t="shared" si="16"/>
        <v>0</v>
      </c>
      <c r="I131" s="4" t="b">
        <f t="shared" si="26"/>
        <v>0</v>
      </c>
      <c r="J131" s="4" t="e">
        <f t="shared" si="25"/>
        <v>#N/A</v>
      </c>
      <c r="K131" s="4" t="e">
        <f t="shared" si="18"/>
        <v>#N/A</v>
      </c>
      <c r="M131" s="4">
        <v>19</v>
      </c>
      <c r="N131" s="4" t="e">
        <f t="shared" si="19"/>
        <v>#N/A</v>
      </c>
      <c r="O131" s="4" t="e">
        <f t="shared" si="20"/>
        <v>#N/A</v>
      </c>
      <c r="P131" s="4" t="e">
        <f t="shared" si="21"/>
        <v>#N/A</v>
      </c>
      <c r="S131" s="8" t="e">
        <f t="shared" si="22"/>
        <v>#N/A</v>
      </c>
      <c r="T131" s="3" t="e">
        <f t="shared" si="23"/>
        <v>#N/A</v>
      </c>
      <c r="V131" t="s">
        <v>81</v>
      </c>
      <c r="W131">
        <f>(($W$125-1)^7)*(((($W$124)^2)/2)^4)/(FACT(4)*(($W$125)^4)*($W$125+1)*($W$125+3)*($W$125+5))</f>
        <v>7.097808444438284E-07</v>
      </c>
      <c r="X131">
        <f>(($W$125-1)^7)*(($W$126)^4)/((FACT(4))*(($W$125)^4)*($W$125+1)*($W$125+3)*($W$125+5))</f>
        <v>7.097808444438284E-07</v>
      </c>
      <c r="Z131" t="s">
        <v>82</v>
      </c>
      <c r="AA131">
        <f>2*$AA$124</f>
        <v>-0.6651489448623168</v>
      </c>
    </row>
    <row r="132" spans="1:28" ht="12.75" hidden="1">
      <c r="A132" s="21">
        <f t="shared" si="16"/>
        <v>0</v>
      </c>
      <c r="I132" s="4" t="b">
        <f t="shared" si="26"/>
        <v>0</v>
      </c>
      <c r="J132" s="4" t="e">
        <f t="shared" si="25"/>
        <v>#N/A</v>
      </c>
      <c r="K132" s="4" t="e">
        <f t="shared" si="18"/>
        <v>#N/A</v>
      </c>
      <c r="M132" s="4">
        <v>20</v>
      </c>
      <c r="N132" s="4" t="e">
        <f t="shared" si="19"/>
        <v>#N/A</v>
      </c>
      <c r="O132" s="4" t="e">
        <f t="shared" si="20"/>
        <v>#N/A</v>
      </c>
      <c r="P132" s="4" t="e">
        <f t="shared" si="21"/>
        <v>#N/A</v>
      </c>
      <c r="S132" s="8" t="e">
        <f t="shared" si="22"/>
        <v>#N/A</v>
      </c>
      <c r="T132" s="3" t="e">
        <f t="shared" si="23"/>
        <v>#N/A</v>
      </c>
      <c r="V132" t="s">
        <v>83</v>
      </c>
      <c r="W132">
        <f>(($W$125-1)^9)*(((($W$124)^2)/2)^5)/(FACT(5)*(($W$125)^5)*($W$125+1)*($W$125+3)*($W$125+5)*($W$125+7))</f>
        <v>6.985590092664385E-09</v>
      </c>
      <c r="X132">
        <f>(($W$125-1)^9)*(($W$126)^5)/((FACT(5))*(($W$125)^5)*($W$125+1)*($W$125+3)*($W$125+5)*($W$125+7))</f>
        <v>6.985590092664385E-09</v>
      </c>
      <c r="Z132" t="s">
        <v>84</v>
      </c>
      <c r="AA132">
        <f>(-$AA$125-$AA$130)/$AA$131</f>
        <v>2.625708462031629</v>
      </c>
      <c r="AB132">
        <f>(-$AA$125+$AA$130)/$AA$131</f>
        <v>1.1358541695453095</v>
      </c>
    </row>
    <row r="133" spans="1:30" ht="12.75" hidden="1">
      <c r="A133" s="21">
        <f t="shared" si="16"/>
        <v>0</v>
      </c>
      <c r="I133" s="4" t="b">
        <f t="shared" si="26"/>
        <v>0</v>
      </c>
      <c r="J133" s="4" t="e">
        <f t="shared" si="25"/>
        <v>#N/A</v>
      </c>
      <c r="K133" s="4" t="e">
        <f t="shared" si="18"/>
        <v>#N/A</v>
      </c>
      <c r="M133" s="4">
        <v>21</v>
      </c>
      <c r="N133" s="4" t="e">
        <f t="shared" si="19"/>
        <v>#N/A</v>
      </c>
      <c r="O133" s="4" t="e">
        <f t="shared" si="20"/>
        <v>#N/A</v>
      </c>
      <c r="P133" s="4" t="e">
        <f t="shared" si="21"/>
        <v>#N/A</v>
      </c>
      <c r="S133" s="8" t="e">
        <f t="shared" si="22"/>
        <v>#N/A</v>
      </c>
      <c r="T133" s="3" t="e">
        <f t="shared" si="23"/>
        <v>#N/A</v>
      </c>
      <c r="V133" t="s">
        <v>85</v>
      </c>
      <c r="X133">
        <f>(($W$125-1)^11)*(($W$126)^6)/((FACT(6))*(($W$125)^6)*($W$125+1)*($W$125+3)*($W$125+5)*($W$125+7)*($W$125+9))</f>
        <v>5.251847596612851E-11</v>
      </c>
      <c r="Z133" t="s">
        <v>86</v>
      </c>
      <c r="AA133">
        <f>100*(1-NORMSDIST($AA$132))</f>
        <v>0.43234421413100854</v>
      </c>
      <c r="AB133">
        <f>100*(1-NORMSDIST($AB$132))</f>
        <v>12.800880089302069</v>
      </c>
      <c r="AD133" t="s">
        <v>87</v>
      </c>
    </row>
    <row r="134" spans="1:31" ht="12.75" hidden="1">
      <c r="A134" s="21">
        <f t="shared" si="16"/>
        <v>0</v>
      </c>
      <c r="I134" s="4" t="b">
        <f t="shared" si="26"/>
        <v>0</v>
      </c>
      <c r="J134" s="4" t="e">
        <f t="shared" si="25"/>
        <v>#N/A</v>
      </c>
      <c r="K134" s="4" t="e">
        <f t="shared" si="18"/>
        <v>#N/A</v>
      </c>
      <c r="M134" s="4">
        <v>22</v>
      </c>
      <c r="N134" s="4" t="e">
        <f t="shared" si="19"/>
        <v>#N/A</v>
      </c>
      <c r="O134" s="4" t="e">
        <f t="shared" si="20"/>
        <v>#N/A</v>
      </c>
      <c r="P134" s="4" t="e">
        <f t="shared" si="21"/>
        <v>#N/A</v>
      </c>
      <c r="S134" s="8" t="e">
        <f t="shared" si="22"/>
        <v>#N/A</v>
      </c>
      <c r="T134" s="3" t="e">
        <f t="shared" si="23"/>
        <v>#N/A</v>
      </c>
      <c r="V134" t="s">
        <v>88</v>
      </c>
      <c r="W134">
        <f>SUM(W127:W132)</f>
        <v>1.079998522810069</v>
      </c>
      <c r="X134">
        <f>SUM(X127:X133)</f>
        <v>1.0799985228625875</v>
      </c>
      <c r="AD134" t="s">
        <v>62</v>
      </c>
      <c r="AE134" t="s">
        <v>89</v>
      </c>
    </row>
    <row r="135" spans="1:31" ht="12.75" hidden="1">
      <c r="A135" s="21">
        <f t="shared" si="16"/>
        <v>0</v>
      </c>
      <c r="I135" s="4" t="b">
        <f t="shared" si="26"/>
        <v>0</v>
      </c>
      <c r="J135" s="4" t="e">
        <f t="shared" si="25"/>
        <v>#N/A</v>
      </c>
      <c r="K135" s="4" t="e">
        <f t="shared" si="18"/>
        <v>#N/A</v>
      </c>
      <c r="M135" s="4">
        <v>23</v>
      </c>
      <c r="N135" s="4" t="e">
        <f t="shared" si="19"/>
        <v>#N/A</v>
      </c>
      <c r="O135" s="4" t="e">
        <f t="shared" si="20"/>
        <v>#N/A</v>
      </c>
      <c r="P135" s="4" t="e">
        <f t="shared" si="21"/>
        <v>#N/A</v>
      </c>
      <c r="S135" s="8" t="e">
        <f t="shared" si="22"/>
        <v>#N/A</v>
      </c>
      <c r="T135" s="3" t="e">
        <f t="shared" si="23"/>
        <v>#N/A</v>
      </c>
      <c r="V135" t="s">
        <v>90</v>
      </c>
      <c r="W135">
        <f>EXP(W123)*W134</f>
        <v>2.6774531840854046</v>
      </c>
      <c r="X135">
        <f>EXP(W123)*X134</f>
        <v>2.6774531842156044</v>
      </c>
      <c r="AD135">
        <v>3</v>
      </c>
      <c r="AE135">
        <v>7.655</v>
      </c>
    </row>
    <row r="136" spans="1:31" ht="12.75" hidden="1">
      <c r="A136" s="21">
        <f t="shared" si="16"/>
        <v>0</v>
      </c>
      <c r="I136" s="4" t="b">
        <f t="shared" si="26"/>
        <v>0</v>
      </c>
      <c r="J136" s="4" t="e">
        <f t="shared" si="25"/>
        <v>#N/A</v>
      </c>
      <c r="K136" s="4" t="e">
        <f t="shared" si="18"/>
        <v>#N/A</v>
      </c>
      <c r="M136" s="4">
        <v>24</v>
      </c>
      <c r="N136" s="4" t="e">
        <f t="shared" si="19"/>
        <v>#N/A</v>
      </c>
      <c r="O136" s="4" t="e">
        <f t="shared" si="20"/>
        <v>#N/A</v>
      </c>
      <c r="P136" s="4" t="e">
        <f t="shared" si="21"/>
        <v>#N/A</v>
      </c>
      <c r="S136" s="8" t="e">
        <f t="shared" si="22"/>
        <v>#N/A</v>
      </c>
      <c r="T136" s="3" t="e">
        <f t="shared" si="23"/>
        <v>#N/A</v>
      </c>
      <c r="AD136">
        <v>4</v>
      </c>
      <c r="AE136">
        <v>5.145</v>
      </c>
    </row>
    <row r="137" spans="1:31" ht="12.75" hidden="1">
      <c r="A137" s="21">
        <f t="shared" si="16"/>
        <v>0</v>
      </c>
      <c r="I137" s="4" t="b">
        <f t="shared" si="26"/>
        <v>0</v>
      </c>
      <c r="J137" s="4" t="e">
        <f t="shared" si="25"/>
        <v>#N/A</v>
      </c>
      <c r="K137" s="4" t="e">
        <f t="shared" si="18"/>
        <v>#N/A</v>
      </c>
      <c r="M137" s="4">
        <v>25</v>
      </c>
      <c r="N137" s="4" t="e">
        <f t="shared" si="19"/>
        <v>#N/A</v>
      </c>
      <c r="O137" s="4" t="e">
        <f t="shared" si="20"/>
        <v>#N/A</v>
      </c>
      <c r="P137" s="4" t="e">
        <f t="shared" si="21"/>
        <v>#N/A</v>
      </c>
      <c r="S137" s="8" t="e">
        <f t="shared" si="22"/>
        <v>#N/A</v>
      </c>
      <c r="T137" s="3" t="e">
        <f t="shared" si="23"/>
        <v>#N/A</v>
      </c>
      <c r="V137" t="s">
        <v>91</v>
      </c>
      <c r="W137">
        <f>EXP(W123+((W124)^2)/2)</f>
        <v>2.6932780852502725</v>
      </c>
      <c r="X137">
        <f>EXP(W123)*EXP(W126)</f>
        <v>2.6932780852502725</v>
      </c>
      <c r="AD137">
        <v>5</v>
      </c>
      <c r="AE137">
        <v>4.202</v>
      </c>
    </row>
    <row r="138" spans="1:31" ht="12.75" hidden="1">
      <c r="A138" s="21">
        <f t="shared" si="16"/>
        <v>0</v>
      </c>
      <c r="I138" s="4" t="b">
        <f t="shared" si="26"/>
        <v>0</v>
      </c>
      <c r="J138" s="4" t="e">
        <f t="shared" si="25"/>
        <v>#N/A</v>
      </c>
      <c r="K138" s="4" t="e">
        <f t="shared" si="18"/>
        <v>#N/A</v>
      </c>
      <c r="M138" s="4">
        <v>26</v>
      </c>
      <c r="N138" s="4" t="e">
        <f t="shared" si="19"/>
        <v>#N/A</v>
      </c>
      <c r="O138" s="4" t="e">
        <f t="shared" si="20"/>
        <v>#N/A</v>
      </c>
      <c r="P138" s="4" t="e">
        <f t="shared" si="21"/>
        <v>#N/A</v>
      </c>
      <c r="S138" s="8" t="e">
        <f t="shared" si="22"/>
        <v>#N/A</v>
      </c>
      <c r="T138" s="3" t="e">
        <f t="shared" si="23"/>
        <v>#N/A</v>
      </c>
      <c r="AD138">
        <v>6</v>
      </c>
      <c r="AE138">
        <v>3.707</v>
      </c>
    </row>
    <row r="139" spans="1:31" ht="12.75" hidden="1">
      <c r="A139" s="21">
        <f t="shared" si="16"/>
        <v>0</v>
      </c>
      <c r="I139" s="4" t="b">
        <f t="shared" si="26"/>
        <v>0</v>
      </c>
      <c r="J139" s="4" t="e">
        <f t="shared" si="25"/>
        <v>#N/A</v>
      </c>
      <c r="K139" s="4" t="e">
        <f t="shared" si="18"/>
        <v>#N/A</v>
      </c>
      <c r="M139" s="4">
        <v>27</v>
      </c>
      <c r="N139" s="4" t="e">
        <f t="shared" si="19"/>
        <v>#N/A</v>
      </c>
      <c r="O139" s="4" t="e">
        <f t="shared" si="20"/>
        <v>#N/A</v>
      </c>
      <c r="P139" s="4" t="e">
        <f t="shared" si="21"/>
        <v>#N/A</v>
      </c>
      <c r="S139" s="8" t="e">
        <f t="shared" si="22"/>
        <v>#N/A</v>
      </c>
      <c r="T139" s="3" t="e">
        <f t="shared" si="23"/>
        <v>#N/A</v>
      </c>
      <c r="AD139">
        <v>7</v>
      </c>
      <c r="AE139">
        <v>3.399</v>
      </c>
    </row>
    <row r="140" spans="1:31" ht="12.75" hidden="1">
      <c r="A140" s="21">
        <f t="shared" si="16"/>
        <v>0</v>
      </c>
      <c r="I140" s="4" t="b">
        <f t="shared" si="26"/>
        <v>0</v>
      </c>
      <c r="J140" s="4" t="e">
        <f t="shared" si="25"/>
        <v>#N/A</v>
      </c>
      <c r="K140" s="4" t="e">
        <f t="shared" si="18"/>
        <v>#N/A</v>
      </c>
      <c r="M140" s="4">
        <v>28</v>
      </c>
      <c r="N140" s="4" t="e">
        <f t="shared" si="19"/>
        <v>#N/A</v>
      </c>
      <c r="O140" s="4" t="e">
        <f t="shared" si="20"/>
        <v>#N/A</v>
      </c>
      <c r="P140" s="4" t="e">
        <f t="shared" si="21"/>
        <v>#N/A</v>
      </c>
      <c r="S140" s="8" t="e">
        <f t="shared" si="22"/>
        <v>#N/A</v>
      </c>
      <c r="T140" s="3" t="e">
        <f t="shared" si="23"/>
        <v>#N/A</v>
      </c>
      <c r="AD140">
        <v>8</v>
      </c>
      <c r="AE140">
        <v>3.188</v>
      </c>
    </row>
    <row r="141" spans="1:31" ht="12.75" hidden="1">
      <c r="A141" s="21">
        <f t="shared" si="16"/>
        <v>0</v>
      </c>
      <c r="I141" s="4" t="b">
        <f t="shared" si="26"/>
        <v>0</v>
      </c>
      <c r="J141" s="4" t="e">
        <f t="shared" si="25"/>
        <v>#N/A</v>
      </c>
      <c r="K141" s="4" t="e">
        <f t="shared" si="18"/>
        <v>#N/A</v>
      </c>
      <c r="M141" s="4">
        <v>29</v>
      </c>
      <c r="N141" s="4" t="e">
        <f t="shared" si="19"/>
        <v>#N/A</v>
      </c>
      <c r="O141" s="4" t="e">
        <f t="shared" si="20"/>
        <v>#N/A</v>
      </c>
      <c r="P141" s="4" t="e">
        <f t="shared" si="21"/>
        <v>#N/A</v>
      </c>
      <c r="S141" s="8" t="e">
        <f t="shared" si="22"/>
        <v>#N/A</v>
      </c>
      <c r="T141" s="3" t="e">
        <f t="shared" si="23"/>
        <v>#N/A</v>
      </c>
      <c r="AD141">
        <v>9</v>
      </c>
      <c r="AE141">
        <v>3.031</v>
      </c>
    </row>
    <row r="142" spans="1:31" ht="12.75" hidden="1">
      <c r="A142" s="21">
        <f t="shared" si="16"/>
        <v>0</v>
      </c>
      <c r="I142" s="4" t="b">
        <f t="shared" si="26"/>
        <v>0</v>
      </c>
      <c r="J142" s="4" t="e">
        <f t="shared" si="25"/>
        <v>#N/A</v>
      </c>
      <c r="K142" s="4" t="e">
        <f t="shared" si="18"/>
        <v>#N/A</v>
      </c>
      <c r="M142" s="4">
        <v>30</v>
      </c>
      <c r="N142" s="4" t="e">
        <f t="shared" si="19"/>
        <v>#N/A</v>
      </c>
      <c r="O142" s="4" t="e">
        <f t="shared" si="20"/>
        <v>#N/A</v>
      </c>
      <c r="P142" s="4" t="e">
        <f t="shared" si="21"/>
        <v>#N/A</v>
      </c>
      <c r="S142" s="8" t="e">
        <f t="shared" si="22"/>
        <v>#N/A</v>
      </c>
      <c r="T142" s="3" t="e">
        <f t="shared" si="23"/>
        <v>#N/A</v>
      </c>
      <c r="AD142">
        <v>10</v>
      </c>
      <c r="AE142">
        <v>2.911</v>
      </c>
    </row>
    <row r="143" spans="1:31" ht="12.75" hidden="1">
      <c r="A143" s="21">
        <f t="shared" si="16"/>
        <v>0</v>
      </c>
      <c r="I143" s="4" t="b">
        <f t="shared" si="26"/>
        <v>0</v>
      </c>
      <c r="J143" s="4" t="e">
        <f t="shared" si="25"/>
        <v>#N/A</v>
      </c>
      <c r="K143" s="4" t="e">
        <f t="shared" si="18"/>
        <v>#N/A</v>
      </c>
      <c r="M143" s="4">
        <v>31</v>
      </c>
      <c r="N143" s="4" t="e">
        <f t="shared" si="19"/>
        <v>#N/A</v>
      </c>
      <c r="O143" s="4" t="e">
        <f t="shared" si="20"/>
        <v>#N/A</v>
      </c>
      <c r="P143" s="4" t="e">
        <f t="shared" si="21"/>
        <v>#N/A</v>
      </c>
      <c r="S143" s="8" t="e">
        <f t="shared" si="22"/>
        <v>#N/A</v>
      </c>
      <c r="T143" s="3" t="e">
        <f t="shared" si="23"/>
        <v>#N/A</v>
      </c>
      <c r="AD143">
        <v>11</v>
      </c>
      <c r="AE143">
        <v>2.815</v>
      </c>
    </row>
    <row r="144" spans="1:31" ht="12.75" hidden="1">
      <c r="A144" s="21">
        <f t="shared" si="16"/>
        <v>0</v>
      </c>
      <c r="I144" s="4" t="b">
        <f t="shared" si="26"/>
        <v>0</v>
      </c>
      <c r="J144" s="4" t="e">
        <f t="shared" si="25"/>
        <v>#N/A</v>
      </c>
      <c r="K144" s="4" t="e">
        <f t="shared" si="18"/>
        <v>#N/A</v>
      </c>
      <c r="M144" s="4">
        <v>32</v>
      </c>
      <c r="N144" s="4" t="e">
        <f t="shared" si="19"/>
        <v>#N/A</v>
      </c>
      <c r="O144" s="4" t="e">
        <f t="shared" si="20"/>
        <v>#N/A</v>
      </c>
      <c r="P144" s="4" t="e">
        <f t="shared" si="21"/>
        <v>#N/A</v>
      </c>
      <c r="S144" s="8" t="e">
        <f t="shared" si="22"/>
        <v>#N/A</v>
      </c>
      <c r="T144" s="3" t="e">
        <f t="shared" si="23"/>
        <v>#N/A</v>
      </c>
      <c r="AD144">
        <v>12</v>
      </c>
      <c r="AE144">
        <v>2.736</v>
      </c>
    </row>
    <row r="145" spans="1:31" ht="12.75" hidden="1">
      <c r="A145" s="21">
        <f aca="true" t="shared" si="27" ref="A145:A163">A43</f>
        <v>0</v>
      </c>
      <c r="I145" s="4" t="b">
        <f t="shared" si="26"/>
        <v>0</v>
      </c>
      <c r="J145" s="4" t="e">
        <f aca="true" t="shared" si="28" ref="J145:J160">IF(A145&gt;0,A145,NA())</f>
        <v>#N/A</v>
      </c>
      <c r="K145" s="4" t="e">
        <f aca="true" t="shared" si="29" ref="K145:K163">NORMSINV(S145)+5</f>
        <v>#N/A</v>
      </c>
      <c r="M145" s="4">
        <v>33</v>
      </c>
      <c r="N145" s="4" t="e">
        <f aca="true" t="shared" si="30" ref="N145:N162">IF(M145&lt;$T$5+1,SMALL($A$11:$A$61,M145),NA())</f>
        <v>#N/A</v>
      </c>
      <c r="O145" s="4" t="e">
        <f aca="true" t="shared" si="31" ref="O145:O162">NORMSINV(P145)+5</f>
        <v>#N/A</v>
      </c>
      <c r="P145" s="4" t="e">
        <f aca="true" t="shared" si="32" ref="P145:P162">IF(M145&lt;$T$5+1,((M145)/($T$5+1)),NA())</f>
        <v>#N/A</v>
      </c>
      <c r="S145" s="8" t="e">
        <f aca="true" t="shared" si="33" ref="S145:S163">((T145-0.5)/$T$5)</f>
        <v>#N/A</v>
      </c>
      <c r="T145" s="3" t="e">
        <f aca="true" t="shared" si="34" ref="T145:T163">RANK(A43,$A$11:$A$61,1)</f>
        <v>#N/A</v>
      </c>
      <c r="AD145">
        <v>13</v>
      </c>
      <c r="AE145">
        <v>2.67</v>
      </c>
    </row>
    <row r="146" spans="1:31" ht="12.75" hidden="1">
      <c r="A146" s="21">
        <f t="shared" si="27"/>
        <v>0</v>
      </c>
      <c r="I146" s="4" t="b">
        <f aca="true" t="shared" si="35" ref="I146:I161">IF(ISNUMBER(J146),M146)</f>
        <v>0</v>
      </c>
      <c r="J146" s="4" t="e">
        <f t="shared" si="28"/>
        <v>#N/A</v>
      </c>
      <c r="K146" s="4" t="e">
        <f t="shared" si="29"/>
        <v>#N/A</v>
      </c>
      <c r="M146" s="4">
        <v>34</v>
      </c>
      <c r="N146" s="4" t="e">
        <f t="shared" si="30"/>
        <v>#N/A</v>
      </c>
      <c r="O146" s="4" t="e">
        <f t="shared" si="31"/>
        <v>#N/A</v>
      </c>
      <c r="P146" s="4" t="e">
        <f t="shared" si="32"/>
        <v>#N/A</v>
      </c>
      <c r="S146" s="8" t="e">
        <f t="shared" si="33"/>
        <v>#N/A</v>
      </c>
      <c r="T146" s="3" t="e">
        <f t="shared" si="34"/>
        <v>#N/A</v>
      </c>
      <c r="AD146">
        <v>14</v>
      </c>
      <c r="AE146">
        <v>2.614</v>
      </c>
    </row>
    <row r="147" spans="1:31" ht="12.75" hidden="1">
      <c r="A147" s="21">
        <f t="shared" si="27"/>
        <v>0</v>
      </c>
      <c r="I147" s="4" t="b">
        <f t="shared" si="35"/>
        <v>0</v>
      </c>
      <c r="J147" s="4" t="e">
        <f t="shared" si="28"/>
        <v>#N/A</v>
      </c>
      <c r="K147" s="4" t="e">
        <f t="shared" si="29"/>
        <v>#N/A</v>
      </c>
      <c r="M147" s="4">
        <v>35</v>
      </c>
      <c r="N147" s="4" t="e">
        <f t="shared" si="30"/>
        <v>#N/A</v>
      </c>
      <c r="O147" s="4" t="e">
        <f t="shared" si="31"/>
        <v>#N/A</v>
      </c>
      <c r="P147" s="4" t="e">
        <f t="shared" si="32"/>
        <v>#N/A</v>
      </c>
      <c r="S147" s="8" t="e">
        <f t="shared" si="33"/>
        <v>#N/A</v>
      </c>
      <c r="T147" s="3" t="e">
        <f t="shared" si="34"/>
        <v>#N/A</v>
      </c>
      <c r="AD147">
        <v>15</v>
      </c>
      <c r="AE147">
        <v>2.566</v>
      </c>
    </row>
    <row r="148" spans="1:31" ht="12.75" hidden="1">
      <c r="A148" s="21">
        <f t="shared" si="27"/>
        <v>0</v>
      </c>
      <c r="I148" s="4" t="b">
        <f t="shared" si="35"/>
        <v>0</v>
      </c>
      <c r="J148" s="4" t="e">
        <f t="shared" si="28"/>
        <v>#N/A</v>
      </c>
      <c r="K148" s="4" t="e">
        <f t="shared" si="29"/>
        <v>#N/A</v>
      </c>
      <c r="M148" s="4">
        <v>36</v>
      </c>
      <c r="N148" s="4" t="e">
        <f t="shared" si="30"/>
        <v>#N/A</v>
      </c>
      <c r="O148" s="4" t="e">
        <f t="shared" si="31"/>
        <v>#N/A</v>
      </c>
      <c r="P148" s="4" t="e">
        <f t="shared" si="32"/>
        <v>#N/A</v>
      </c>
      <c r="S148" s="8" t="e">
        <f t="shared" si="33"/>
        <v>#N/A</v>
      </c>
      <c r="T148" s="3" t="e">
        <f t="shared" si="34"/>
        <v>#N/A</v>
      </c>
      <c r="AD148">
        <v>16</v>
      </c>
      <c r="AE148">
        <v>2.523</v>
      </c>
    </row>
    <row r="149" spans="1:31" ht="12.75" hidden="1">
      <c r="A149" s="21">
        <f t="shared" si="27"/>
        <v>0</v>
      </c>
      <c r="I149" s="4" t="b">
        <f t="shared" si="35"/>
        <v>0</v>
      </c>
      <c r="J149" s="4" t="e">
        <f t="shared" si="28"/>
        <v>#N/A</v>
      </c>
      <c r="K149" s="4" t="e">
        <f t="shared" si="29"/>
        <v>#N/A</v>
      </c>
      <c r="M149" s="4">
        <v>37</v>
      </c>
      <c r="N149" s="4" t="e">
        <f t="shared" si="30"/>
        <v>#N/A</v>
      </c>
      <c r="O149" s="4" t="e">
        <f t="shared" si="31"/>
        <v>#N/A</v>
      </c>
      <c r="P149" s="4" t="e">
        <f t="shared" si="32"/>
        <v>#N/A</v>
      </c>
      <c r="S149" s="8" t="e">
        <f t="shared" si="33"/>
        <v>#N/A</v>
      </c>
      <c r="T149" s="3" t="e">
        <f t="shared" si="34"/>
        <v>#N/A</v>
      </c>
      <c r="AD149">
        <v>17</v>
      </c>
      <c r="AE149">
        <v>2.486</v>
      </c>
    </row>
    <row r="150" spans="1:31" ht="12.75" hidden="1">
      <c r="A150" s="21">
        <f t="shared" si="27"/>
        <v>0</v>
      </c>
      <c r="I150" s="4" t="b">
        <f t="shared" si="35"/>
        <v>0</v>
      </c>
      <c r="J150" s="4" t="e">
        <f t="shared" si="28"/>
        <v>#N/A</v>
      </c>
      <c r="K150" s="4" t="e">
        <f t="shared" si="29"/>
        <v>#N/A</v>
      </c>
      <c r="M150" s="4">
        <v>38</v>
      </c>
      <c r="N150" s="4" t="e">
        <f t="shared" si="30"/>
        <v>#N/A</v>
      </c>
      <c r="O150" s="4" t="e">
        <f t="shared" si="31"/>
        <v>#N/A</v>
      </c>
      <c r="P150" s="4" t="e">
        <f t="shared" si="32"/>
        <v>#N/A</v>
      </c>
      <c r="S150" s="8" t="e">
        <f t="shared" si="33"/>
        <v>#N/A</v>
      </c>
      <c r="T150" s="3" t="e">
        <f t="shared" si="34"/>
        <v>#N/A</v>
      </c>
      <c r="AD150">
        <v>18</v>
      </c>
      <c r="AE150">
        <v>2.453</v>
      </c>
    </row>
    <row r="151" spans="1:31" ht="12.75" hidden="1">
      <c r="A151" s="21">
        <f t="shared" si="27"/>
        <v>0</v>
      </c>
      <c r="I151" s="4" t="b">
        <f t="shared" si="35"/>
        <v>0</v>
      </c>
      <c r="J151" s="4" t="e">
        <f t="shared" si="28"/>
        <v>#N/A</v>
      </c>
      <c r="K151" s="4" t="e">
        <f t="shared" si="29"/>
        <v>#N/A</v>
      </c>
      <c r="M151" s="4">
        <v>39</v>
      </c>
      <c r="N151" s="4" t="e">
        <f t="shared" si="30"/>
        <v>#N/A</v>
      </c>
      <c r="O151" s="4" t="e">
        <f t="shared" si="31"/>
        <v>#N/A</v>
      </c>
      <c r="P151" s="4" t="e">
        <f t="shared" si="32"/>
        <v>#N/A</v>
      </c>
      <c r="S151" s="8" t="e">
        <f t="shared" si="33"/>
        <v>#N/A</v>
      </c>
      <c r="T151" s="3" t="e">
        <f t="shared" si="34"/>
        <v>#N/A</v>
      </c>
      <c r="AD151">
        <v>19</v>
      </c>
      <c r="AE151">
        <v>2.423</v>
      </c>
    </row>
    <row r="152" spans="1:31" ht="12.75" hidden="1">
      <c r="A152" s="21">
        <f t="shared" si="27"/>
        <v>0</v>
      </c>
      <c r="I152" s="4" t="b">
        <f t="shared" si="35"/>
        <v>0</v>
      </c>
      <c r="J152" s="4" t="e">
        <f t="shared" si="28"/>
        <v>#N/A</v>
      </c>
      <c r="K152" s="4" t="e">
        <f t="shared" si="29"/>
        <v>#N/A</v>
      </c>
      <c r="M152" s="4">
        <v>40</v>
      </c>
      <c r="N152" s="4" t="e">
        <f t="shared" si="30"/>
        <v>#N/A</v>
      </c>
      <c r="O152" s="4" t="e">
        <f t="shared" si="31"/>
        <v>#N/A</v>
      </c>
      <c r="P152" s="4" t="e">
        <f t="shared" si="32"/>
        <v>#N/A</v>
      </c>
      <c r="S152" s="8" t="e">
        <f t="shared" si="33"/>
        <v>#N/A</v>
      </c>
      <c r="T152" s="3" t="e">
        <f t="shared" si="34"/>
        <v>#N/A</v>
      </c>
      <c r="AD152">
        <v>20</v>
      </c>
      <c r="AE152">
        <v>2.396</v>
      </c>
    </row>
    <row r="153" spans="1:31" ht="12.75" hidden="1">
      <c r="A153" s="21">
        <f t="shared" si="27"/>
        <v>0</v>
      </c>
      <c r="I153" s="4" t="b">
        <f t="shared" si="35"/>
        <v>0</v>
      </c>
      <c r="J153" s="4" t="e">
        <f t="shared" si="28"/>
        <v>#N/A</v>
      </c>
      <c r="K153" s="4" t="e">
        <f t="shared" si="29"/>
        <v>#N/A</v>
      </c>
      <c r="M153" s="4">
        <v>41</v>
      </c>
      <c r="N153" s="4" t="e">
        <f t="shared" si="30"/>
        <v>#N/A</v>
      </c>
      <c r="O153" s="4" t="e">
        <f t="shared" si="31"/>
        <v>#N/A</v>
      </c>
      <c r="P153" s="4" t="e">
        <f t="shared" si="32"/>
        <v>#N/A</v>
      </c>
      <c r="S153" s="8" t="e">
        <f t="shared" si="33"/>
        <v>#N/A</v>
      </c>
      <c r="T153" s="3" t="e">
        <f t="shared" si="34"/>
        <v>#N/A</v>
      </c>
      <c r="AD153">
        <v>21</v>
      </c>
      <c r="AE153">
        <v>2.371</v>
      </c>
    </row>
    <row r="154" spans="1:31" ht="12.75" hidden="1">
      <c r="A154" s="21">
        <f t="shared" si="27"/>
        <v>0</v>
      </c>
      <c r="I154" s="4" t="b">
        <f t="shared" si="35"/>
        <v>0</v>
      </c>
      <c r="J154" s="4" t="e">
        <f t="shared" si="28"/>
        <v>#N/A</v>
      </c>
      <c r="K154" s="4" t="e">
        <f t="shared" si="29"/>
        <v>#N/A</v>
      </c>
      <c r="M154" s="4">
        <v>42</v>
      </c>
      <c r="N154" s="4" t="e">
        <f t="shared" si="30"/>
        <v>#N/A</v>
      </c>
      <c r="O154" s="4" t="e">
        <f t="shared" si="31"/>
        <v>#N/A</v>
      </c>
      <c r="P154" s="4" t="e">
        <f t="shared" si="32"/>
        <v>#N/A</v>
      </c>
      <c r="S154" s="8" t="e">
        <f t="shared" si="33"/>
        <v>#N/A</v>
      </c>
      <c r="T154" s="3" t="e">
        <f t="shared" si="34"/>
        <v>#N/A</v>
      </c>
      <c r="AD154">
        <v>22</v>
      </c>
      <c r="AE154">
        <v>2.35</v>
      </c>
    </row>
    <row r="155" spans="1:31" ht="12.75" hidden="1">
      <c r="A155" s="21">
        <f t="shared" si="27"/>
        <v>0</v>
      </c>
      <c r="I155" s="4" t="b">
        <f t="shared" si="35"/>
        <v>0</v>
      </c>
      <c r="J155" s="4" t="e">
        <f t="shared" si="28"/>
        <v>#N/A</v>
      </c>
      <c r="K155" s="4" t="e">
        <f t="shared" si="29"/>
        <v>#N/A</v>
      </c>
      <c r="M155" s="4">
        <v>43</v>
      </c>
      <c r="N155" s="4" t="e">
        <f t="shared" si="30"/>
        <v>#N/A</v>
      </c>
      <c r="O155" s="4" t="e">
        <f t="shared" si="31"/>
        <v>#N/A</v>
      </c>
      <c r="P155" s="4" t="e">
        <f t="shared" si="32"/>
        <v>#N/A</v>
      </c>
      <c r="S155" s="8" t="e">
        <f t="shared" si="33"/>
        <v>#N/A</v>
      </c>
      <c r="T155" s="3" t="e">
        <f t="shared" si="34"/>
        <v>#N/A</v>
      </c>
      <c r="AD155">
        <v>23</v>
      </c>
      <c r="AE155">
        <v>2.329</v>
      </c>
    </row>
    <row r="156" spans="1:31" ht="12.75" hidden="1">
      <c r="A156" s="21">
        <f t="shared" si="27"/>
        <v>0</v>
      </c>
      <c r="I156" s="4" t="b">
        <f t="shared" si="35"/>
        <v>0</v>
      </c>
      <c r="J156" s="4" t="e">
        <f t="shared" si="28"/>
        <v>#N/A</v>
      </c>
      <c r="K156" s="4" t="e">
        <f t="shared" si="29"/>
        <v>#N/A</v>
      </c>
      <c r="M156" s="4">
        <v>44</v>
      </c>
      <c r="N156" s="4" t="e">
        <f t="shared" si="30"/>
        <v>#N/A</v>
      </c>
      <c r="O156" s="4" t="e">
        <f t="shared" si="31"/>
        <v>#N/A</v>
      </c>
      <c r="P156" s="4" t="e">
        <f t="shared" si="32"/>
        <v>#N/A</v>
      </c>
      <c r="S156" s="8" t="e">
        <f t="shared" si="33"/>
        <v>#N/A</v>
      </c>
      <c r="T156" s="3" t="e">
        <f t="shared" si="34"/>
        <v>#N/A</v>
      </c>
      <c r="AD156">
        <v>24</v>
      </c>
      <c r="AE156">
        <v>2.309</v>
      </c>
    </row>
    <row r="157" spans="1:31" ht="12.75" hidden="1">
      <c r="A157" s="21">
        <f t="shared" si="27"/>
        <v>0</v>
      </c>
      <c r="I157" s="4" t="b">
        <f t="shared" si="35"/>
        <v>0</v>
      </c>
      <c r="J157" s="4" t="e">
        <f t="shared" si="28"/>
        <v>#N/A</v>
      </c>
      <c r="K157" s="4" t="e">
        <f t="shared" si="29"/>
        <v>#N/A</v>
      </c>
      <c r="M157" s="4">
        <v>45</v>
      </c>
      <c r="N157" s="4" t="e">
        <f t="shared" si="30"/>
        <v>#N/A</v>
      </c>
      <c r="O157" s="4" t="e">
        <f t="shared" si="31"/>
        <v>#N/A</v>
      </c>
      <c r="P157" s="4" t="e">
        <f t="shared" si="32"/>
        <v>#N/A</v>
      </c>
      <c r="S157" s="8" t="e">
        <f t="shared" si="33"/>
        <v>#N/A</v>
      </c>
      <c r="T157" s="3" t="e">
        <f t="shared" si="34"/>
        <v>#N/A</v>
      </c>
      <c r="AD157">
        <v>25</v>
      </c>
      <c r="AE157">
        <v>2.292</v>
      </c>
    </row>
    <row r="158" spans="1:31" ht="12.75" hidden="1">
      <c r="A158" s="21">
        <f t="shared" si="27"/>
        <v>0</v>
      </c>
      <c r="I158" s="4" t="b">
        <f t="shared" si="35"/>
        <v>0</v>
      </c>
      <c r="J158" s="4" t="e">
        <f t="shared" si="28"/>
        <v>#N/A</v>
      </c>
      <c r="K158" s="4" t="e">
        <f t="shared" si="29"/>
        <v>#N/A</v>
      </c>
      <c r="M158" s="4">
        <v>46</v>
      </c>
      <c r="N158" s="4" t="e">
        <f t="shared" si="30"/>
        <v>#N/A</v>
      </c>
      <c r="O158" s="4" t="e">
        <f t="shared" si="31"/>
        <v>#N/A</v>
      </c>
      <c r="P158" s="4" t="e">
        <f t="shared" si="32"/>
        <v>#N/A</v>
      </c>
      <c r="S158" s="8" t="e">
        <f t="shared" si="33"/>
        <v>#N/A</v>
      </c>
      <c r="T158" s="3" t="e">
        <f t="shared" si="34"/>
        <v>#N/A</v>
      </c>
      <c r="AD158">
        <v>26</v>
      </c>
      <c r="AE158">
        <v>2.2776</v>
      </c>
    </row>
    <row r="159" spans="1:31" ht="12.75" hidden="1">
      <c r="A159" s="21">
        <f t="shared" si="27"/>
        <v>0</v>
      </c>
      <c r="I159" s="4" t="b">
        <f t="shared" si="35"/>
        <v>0</v>
      </c>
      <c r="J159" s="4" t="e">
        <f t="shared" si="28"/>
        <v>#N/A</v>
      </c>
      <c r="K159" s="4" t="e">
        <f t="shared" si="29"/>
        <v>#N/A</v>
      </c>
      <c r="M159" s="4">
        <v>47</v>
      </c>
      <c r="N159" s="4" t="e">
        <f t="shared" si="30"/>
        <v>#N/A</v>
      </c>
      <c r="O159" s="4" t="e">
        <f t="shared" si="31"/>
        <v>#N/A</v>
      </c>
      <c r="P159" s="4" t="e">
        <f t="shared" si="32"/>
        <v>#N/A</v>
      </c>
      <c r="S159" s="8" t="e">
        <f t="shared" si="33"/>
        <v>#N/A</v>
      </c>
      <c r="T159" s="3" t="e">
        <f t="shared" si="34"/>
        <v>#N/A</v>
      </c>
      <c r="AD159">
        <v>27</v>
      </c>
      <c r="AE159">
        <v>2.2632</v>
      </c>
    </row>
    <row r="160" spans="1:31" ht="12.75" hidden="1">
      <c r="A160" s="21">
        <f t="shared" si="27"/>
        <v>0</v>
      </c>
      <c r="I160" s="4" t="b">
        <f t="shared" si="35"/>
        <v>0</v>
      </c>
      <c r="J160" s="4" t="e">
        <f t="shared" si="28"/>
        <v>#N/A</v>
      </c>
      <c r="K160" s="4" t="e">
        <f t="shared" si="29"/>
        <v>#N/A</v>
      </c>
      <c r="M160" s="4">
        <v>48</v>
      </c>
      <c r="N160" s="4" t="e">
        <f t="shared" si="30"/>
        <v>#N/A</v>
      </c>
      <c r="O160" s="4" t="e">
        <f t="shared" si="31"/>
        <v>#N/A</v>
      </c>
      <c r="P160" s="4" t="e">
        <f t="shared" si="32"/>
        <v>#N/A</v>
      </c>
      <c r="S160" s="8" t="e">
        <f t="shared" si="33"/>
        <v>#N/A</v>
      </c>
      <c r="T160" s="3" t="e">
        <f t="shared" si="34"/>
        <v>#N/A</v>
      </c>
      <c r="AD160">
        <v>28</v>
      </c>
      <c r="AE160">
        <v>2.2488</v>
      </c>
    </row>
    <row r="161" spans="1:31" ht="12.75" hidden="1">
      <c r="A161" s="21">
        <f t="shared" si="27"/>
        <v>0</v>
      </c>
      <c r="I161" s="4" t="b">
        <f t="shared" si="35"/>
        <v>0</v>
      </c>
      <c r="J161" s="4" t="e">
        <f>IF(A161&gt;0,A161,NA())</f>
        <v>#N/A</v>
      </c>
      <c r="K161" s="4" t="e">
        <f t="shared" si="29"/>
        <v>#N/A</v>
      </c>
      <c r="M161" s="4">
        <v>49</v>
      </c>
      <c r="N161" s="4" t="e">
        <f t="shared" si="30"/>
        <v>#N/A</v>
      </c>
      <c r="O161" s="4" t="e">
        <f t="shared" si="31"/>
        <v>#N/A</v>
      </c>
      <c r="P161" s="4" t="e">
        <f t="shared" si="32"/>
        <v>#N/A</v>
      </c>
      <c r="S161" s="8" t="e">
        <f t="shared" si="33"/>
        <v>#N/A</v>
      </c>
      <c r="T161" s="3" t="e">
        <f t="shared" si="34"/>
        <v>#N/A</v>
      </c>
      <c r="AD161">
        <v>29</v>
      </c>
      <c r="AE161">
        <v>2.2344</v>
      </c>
    </row>
    <row r="162" spans="1:31" ht="12.75" hidden="1">
      <c r="A162" s="21">
        <f t="shared" si="27"/>
        <v>0</v>
      </c>
      <c r="I162" s="4" t="b">
        <f>IF(ISNUMBER(J162),M162)</f>
        <v>0</v>
      </c>
      <c r="J162" s="4" t="e">
        <f>IF(A162&gt;0,A162,NA())</f>
        <v>#N/A</v>
      </c>
      <c r="K162" s="4" t="e">
        <f t="shared" si="29"/>
        <v>#N/A</v>
      </c>
      <c r="M162" s="4">
        <v>50</v>
      </c>
      <c r="N162" s="4" t="e">
        <f t="shared" si="30"/>
        <v>#N/A</v>
      </c>
      <c r="O162" s="4" t="e">
        <f t="shared" si="31"/>
        <v>#N/A</v>
      </c>
      <c r="P162" s="4" t="e">
        <f t="shared" si="32"/>
        <v>#N/A</v>
      </c>
      <c r="S162" s="8" t="e">
        <f t="shared" si="33"/>
        <v>#N/A</v>
      </c>
      <c r="T162" s="3" t="e">
        <f t="shared" si="34"/>
        <v>#N/A</v>
      </c>
      <c r="AD162">
        <v>30</v>
      </c>
      <c r="AE162">
        <v>2.22</v>
      </c>
    </row>
    <row r="163" spans="1:31" ht="12.75" hidden="1">
      <c r="A163" s="21">
        <f t="shared" si="27"/>
        <v>0</v>
      </c>
      <c r="I163" s="4" t="b">
        <f>IF(ISNUMBER(J163),M163)</f>
        <v>0</v>
      </c>
      <c r="J163" s="4" t="e">
        <f>IF(A163&gt;0,A163,NA())</f>
        <v>#N/A</v>
      </c>
      <c r="K163" s="4" t="e">
        <f t="shared" si="29"/>
        <v>#N/A</v>
      </c>
      <c r="S163" s="8" t="e">
        <f t="shared" si="33"/>
        <v>#N/A</v>
      </c>
      <c r="T163" s="3" t="e">
        <f t="shared" si="34"/>
        <v>#N/A</v>
      </c>
      <c r="AD163">
        <v>31</v>
      </c>
      <c r="AE163">
        <v>2.2092</v>
      </c>
    </row>
    <row r="164" spans="30:32" ht="12.75" hidden="1">
      <c r="AD164">
        <v>32</v>
      </c>
      <c r="AE164">
        <v>2.1984</v>
      </c>
      <c r="AF164" t="s">
        <v>92</v>
      </c>
    </row>
    <row r="165" spans="30:32" ht="12.75" hidden="1">
      <c r="AD165">
        <v>33</v>
      </c>
      <c r="AE165">
        <v>2.1876</v>
      </c>
      <c r="AF165" t="s">
        <v>92</v>
      </c>
    </row>
    <row r="166" spans="30:32" ht="12.75" hidden="1">
      <c r="AD166">
        <v>34</v>
      </c>
      <c r="AE166">
        <v>2.1768</v>
      </c>
      <c r="AF166" t="s">
        <v>92</v>
      </c>
    </row>
    <row r="167" spans="30:32" ht="12.75" hidden="1">
      <c r="AD167">
        <v>35</v>
      </c>
      <c r="AE167">
        <v>2.166</v>
      </c>
      <c r="AF167" t="s">
        <v>92</v>
      </c>
    </row>
    <row r="168" spans="30:31" ht="12.75" hidden="1">
      <c r="AD168">
        <v>36</v>
      </c>
      <c r="AE168">
        <f>(($AE$167-$AE$172)/5)+AE169</f>
        <v>2.1578</v>
      </c>
    </row>
    <row r="169" spans="30:31" ht="12.75" hidden="1">
      <c r="AD169">
        <v>37</v>
      </c>
      <c r="AE169">
        <f>(($AE$167-$AE$172)/5)+AE170</f>
        <v>2.1496</v>
      </c>
    </row>
    <row r="170" spans="30:31" ht="12.75" hidden="1">
      <c r="AD170">
        <v>38</v>
      </c>
      <c r="AE170">
        <f>(($AE$167-$AE$172)/5)+AE171</f>
        <v>2.1414</v>
      </c>
    </row>
    <row r="171" spans="30:31" ht="12.75" hidden="1">
      <c r="AD171">
        <v>39</v>
      </c>
      <c r="AE171">
        <f>(($AE$167-$AE$172)/5)+AE172</f>
        <v>2.1332</v>
      </c>
    </row>
    <row r="172" spans="30:32" ht="12.75" hidden="1">
      <c r="AD172">
        <v>40</v>
      </c>
      <c r="AE172">
        <v>2.125</v>
      </c>
      <c r="AF172" t="s">
        <v>92</v>
      </c>
    </row>
    <row r="173" spans="30:31" ht="12.75" hidden="1">
      <c r="AD173">
        <v>41</v>
      </c>
      <c r="AE173">
        <f>(($AE$172-$AE$177)/5)+AE174</f>
        <v>2.1184000000000007</v>
      </c>
    </row>
    <row r="174" spans="30:31" ht="12.75" hidden="1">
      <c r="AD174">
        <v>42</v>
      </c>
      <c r="AE174">
        <f>(($AE$172-$AE$177)/5)+AE175</f>
        <v>2.1118000000000006</v>
      </c>
    </row>
    <row r="175" spans="30:31" ht="12.75" hidden="1">
      <c r="AD175">
        <v>43</v>
      </c>
      <c r="AE175">
        <f>(($AE$172-$AE$177)/5)+AE176</f>
        <v>2.1052000000000004</v>
      </c>
    </row>
    <row r="176" spans="30:31" ht="12.75" hidden="1">
      <c r="AD176">
        <v>44</v>
      </c>
      <c r="AE176">
        <f>(($AE$172-$AE$177)/5)+AE177</f>
        <v>2.0986000000000002</v>
      </c>
    </row>
    <row r="177" spans="30:32" ht="12.75" hidden="1">
      <c r="AD177">
        <v>45</v>
      </c>
      <c r="AE177">
        <v>2.092</v>
      </c>
      <c r="AF177" t="s">
        <v>92</v>
      </c>
    </row>
    <row r="178" spans="30:31" ht="12.75" hidden="1">
      <c r="AD178">
        <v>46</v>
      </c>
      <c r="AE178">
        <f>(($AE$177-$AE$182)/5)+AE179</f>
        <v>2.0865999999999993</v>
      </c>
    </row>
    <row r="179" spans="30:31" ht="12.75" hidden="1">
      <c r="AD179">
        <v>47</v>
      </c>
      <c r="AE179">
        <f>(($AE$177-$AE$182)/5)+AE180</f>
        <v>2.0811999999999995</v>
      </c>
    </row>
    <row r="180" spans="30:31" ht="12.75" hidden="1">
      <c r="AD180">
        <v>48</v>
      </c>
      <c r="AE180">
        <f>(($AE$177-$AE$182)/5)+AE181</f>
        <v>2.0757999999999996</v>
      </c>
    </row>
    <row r="181" spans="30:31" ht="12.75" hidden="1">
      <c r="AD181">
        <v>49</v>
      </c>
      <c r="AE181">
        <f>(($AE$177-$AE$182)/5)+AE182</f>
        <v>2.0704</v>
      </c>
    </row>
    <row r="182" spans="30:32" ht="12.75" hidden="1">
      <c r="AD182">
        <v>50</v>
      </c>
      <c r="AE182">
        <v>2.065</v>
      </c>
      <c r="AF182" t="s">
        <v>92</v>
      </c>
    </row>
    <row r="183" ht="12.75" hidden="1">
      <c r="AD183">
        <v>51</v>
      </c>
    </row>
    <row r="184" ht="12.75" hidden="1">
      <c r="AD184">
        <v>52</v>
      </c>
    </row>
    <row r="185" ht="12.75" hidden="1">
      <c r="AD185">
        <v>53</v>
      </c>
    </row>
    <row r="186" ht="12.75" hidden="1">
      <c r="AD186">
        <v>54</v>
      </c>
    </row>
    <row r="187" ht="12.75" hidden="1">
      <c r="AD187">
        <v>55</v>
      </c>
    </row>
    <row r="188" ht="12.75" hidden="1">
      <c r="AD188">
        <v>56</v>
      </c>
    </row>
    <row r="189" ht="12.75" hidden="1">
      <c r="AD189">
        <v>57</v>
      </c>
    </row>
    <row r="190" ht="12.75" hidden="1">
      <c r="AD190">
        <v>58</v>
      </c>
    </row>
    <row r="191" ht="12.75" hidden="1">
      <c r="AD191">
        <v>59</v>
      </c>
    </row>
    <row r="192" ht="12.75" hidden="1">
      <c r="AD192">
        <v>60</v>
      </c>
    </row>
    <row r="193" ht="12.75" hidden="1">
      <c r="AD193">
        <v>61</v>
      </c>
    </row>
    <row r="194" ht="12.75" hidden="1">
      <c r="AD194">
        <v>62</v>
      </c>
    </row>
    <row r="195" spans="1:30" ht="12.75" hidden="1">
      <c r="A195" s="21" t="s">
        <v>93</v>
      </c>
      <c r="AD195">
        <v>63</v>
      </c>
    </row>
    <row r="196" ht="12.75" hidden="1"/>
    <row r="197" spans="1:27" ht="12.75" hidden="1">
      <c r="A197" s="21" t="s">
        <v>94</v>
      </c>
      <c r="B197">
        <f>($T$15*($T$16^(2.33)))/100</f>
        <v>0.06400510959074648</v>
      </c>
      <c r="S197" s="8" t="s">
        <v>95</v>
      </c>
      <c r="U197" t="s">
        <v>96</v>
      </c>
      <c r="W197" t="s">
        <v>97</v>
      </c>
      <c r="Y197" t="s">
        <v>98</v>
      </c>
      <c r="AA197" t="s">
        <v>99</v>
      </c>
    </row>
    <row r="198" ht="12.75" hidden="1"/>
    <row r="199" spans="1:28" ht="12.75" hidden="1">
      <c r="A199" s="21" t="s">
        <v>11</v>
      </c>
      <c r="B199" t="s">
        <v>100</v>
      </c>
      <c r="S199" s="8" t="s">
        <v>11</v>
      </c>
      <c r="T199" t="s">
        <v>35</v>
      </c>
      <c r="U199" t="s">
        <v>11</v>
      </c>
      <c r="V199" t="s">
        <v>35</v>
      </c>
      <c r="W199" t="s">
        <v>11</v>
      </c>
      <c r="X199" t="s">
        <v>35</v>
      </c>
      <c r="Y199" t="s">
        <v>11</v>
      </c>
      <c r="Z199" t="s">
        <v>35</v>
      </c>
      <c r="AA199" t="s">
        <v>11</v>
      </c>
      <c r="AB199" t="s">
        <v>35</v>
      </c>
    </row>
    <row r="200" spans="1:28" ht="12.75" hidden="1">
      <c r="A200" s="21">
        <f>B197</f>
        <v>0.06400510959074648</v>
      </c>
      <c r="B200">
        <f aca="true" t="shared" si="36" ref="B200:B209">(EXP(((LN(A200)-$T$13)^2)/(-2*($T$14^2))))/(A200*$T$14*SQRT(2*PI()))</f>
        <v>4.5975924553173176E-17</v>
      </c>
      <c r="S200" s="10">
        <f>T15</f>
        <v>2.479126709468905</v>
      </c>
      <c r="T200">
        <v>0</v>
      </c>
      <c r="U200" s="7">
        <f>T26</f>
        <v>2.6774531840854046</v>
      </c>
      <c r="V200">
        <v>0</v>
      </c>
      <c r="W200" s="7">
        <f>T29</f>
        <v>4.843004810855004</v>
      </c>
      <c r="X200">
        <v>0</v>
      </c>
      <c r="Y200" s="7">
        <f>T27</f>
        <v>2.2569901484567523</v>
      </c>
      <c r="Z200">
        <v>0</v>
      </c>
      <c r="AA200" s="7">
        <f>T28</f>
        <v>3.326659595877428</v>
      </c>
      <c r="AB200" t="s">
        <v>101</v>
      </c>
    </row>
    <row r="201" spans="1:28" ht="12.75" hidden="1">
      <c r="A201" s="21">
        <f aca="true" t="shared" si="37" ref="A201:A209">A200+$B$197</f>
        <v>0.12801021918149297</v>
      </c>
      <c r="B201">
        <f t="shared" si="36"/>
        <v>2.3706337478305993E-11</v>
      </c>
      <c r="S201" s="10">
        <f>S200</f>
        <v>2.479126709468905</v>
      </c>
      <c r="T201">
        <f>MAX($B$200:$B$299)</f>
        <v>0.42942331662878175</v>
      </c>
      <c r="U201" s="7">
        <f>U200</f>
        <v>2.6774531840854046</v>
      </c>
      <c r="V201">
        <f>MAX($B$200:$B$299)</f>
        <v>0.42942331662878175</v>
      </c>
      <c r="W201" s="7">
        <f>W200</f>
        <v>4.843004810855004</v>
      </c>
      <c r="X201">
        <f>MAX($B$200:$B$299)</f>
        <v>0.42942331662878175</v>
      </c>
      <c r="Y201" s="7">
        <f>Y200</f>
        <v>2.2569901484567523</v>
      </c>
      <c r="Z201">
        <f>X201</f>
        <v>0.42942331662878175</v>
      </c>
      <c r="AA201" s="7">
        <f>AA200</f>
        <v>3.326659595877428</v>
      </c>
      <c r="AB201">
        <f>Z201</f>
        <v>0.42942331662878175</v>
      </c>
    </row>
    <row r="202" spans="1:10" ht="12.75" hidden="1">
      <c r="A202" s="21">
        <f t="shared" si="37"/>
        <v>0.19201532877223945</v>
      </c>
      <c r="B202">
        <f t="shared" si="36"/>
        <v>1.3571594283331418E-08</v>
      </c>
      <c r="I202" s="91" t="s">
        <v>102</v>
      </c>
      <c r="J202" s="76">
        <f>W137</f>
        <v>2.6932780852502725</v>
      </c>
    </row>
    <row r="203" spans="1:10" ht="12.75" hidden="1">
      <c r="A203" s="21">
        <f t="shared" si="37"/>
        <v>0.25602043836298594</v>
      </c>
      <c r="B203">
        <f t="shared" si="36"/>
        <v>6.729570698411754E-07</v>
      </c>
      <c r="I203" s="92" t="s">
        <v>103</v>
      </c>
      <c r="J203" s="76">
        <f>$J$202*EXP(-TINV(0.1,$T$5-1)*($T$14/SQRT($T$5)))</f>
        <v>2.238121393238198</v>
      </c>
    </row>
    <row r="204" spans="1:10" ht="12.75" hidden="1">
      <c r="A204" s="21">
        <f t="shared" si="37"/>
        <v>0.3200255479537324</v>
      </c>
      <c r="B204">
        <f t="shared" si="36"/>
        <v>9.854489854941704E-06</v>
      </c>
      <c r="I204" s="93" t="s">
        <v>104</v>
      </c>
      <c r="J204" s="70">
        <f>$J$202*EXP(TINV(0.1,$T$5-1)*($T$14/SQRT($T$5)))</f>
        <v>3.240997948728054</v>
      </c>
    </row>
    <row r="205" spans="1:2" ht="12.75" hidden="1">
      <c r="A205" s="21">
        <f t="shared" si="37"/>
        <v>0.38403065754447885</v>
      </c>
      <c r="B205">
        <f t="shared" si="36"/>
        <v>7.065818787372867E-05</v>
      </c>
    </row>
    <row r="206" spans="1:2" ht="12.75" hidden="1">
      <c r="A206" s="21">
        <f t="shared" si="37"/>
        <v>0.4480357671352253</v>
      </c>
      <c r="B206">
        <f t="shared" si="36"/>
        <v>0.0003195451163191841</v>
      </c>
    </row>
    <row r="207" spans="1:2" ht="12.75" hidden="1">
      <c r="A207" s="21">
        <f t="shared" si="37"/>
        <v>0.5120408767259718</v>
      </c>
      <c r="B207">
        <f t="shared" si="36"/>
        <v>0.0010517176531131725</v>
      </c>
    </row>
    <row r="208" spans="1:19" ht="12.75" hidden="1">
      <c r="A208" s="21">
        <f t="shared" si="37"/>
        <v>0.5760459863167182</v>
      </c>
      <c r="B208">
        <f t="shared" si="36"/>
        <v>0.0027508021732536403</v>
      </c>
      <c r="H208" s="13" t="s">
        <v>105</v>
      </c>
      <c r="I208" s="13"/>
      <c r="J208" s="13"/>
      <c r="K208"/>
      <c r="L208"/>
      <c r="M208"/>
      <c r="N208"/>
      <c r="O208"/>
      <c r="P208"/>
      <c r="Q208"/>
      <c r="R208"/>
      <c r="S208"/>
    </row>
    <row r="209" spans="1:19" ht="12.75" hidden="1">
      <c r="A209" s="21">
        <f t="shared" si="37"/>
        <v>0.6400510959074647</v>
      </c>
      <c r="B209">
        <f t="shared" si="36"/>
        <v>0.006055786031134579</v>
      </c>
      <c r="H209"/>
      <c r="I209" s="13" t="s">
        <v>106</v>
      </c>
      <c r="J209" s="24">
        <f>IF(T14&lt;0.01,0.01,T14)</f>
        <v>0.4070692959868953</v>
      </c>
      <c r="K209"/>
      <c r="L209"/>
      <c r="M209"/>
      <c r="N209" t="s">
        <v>107</v>
      </c>
      <c r="O209" t="s">
        <v>108</v>
      </c>
      <c r="P209"/>
      <c r="Q209"/>
      <c r="R209"/>
      <c r="S209"/>
    </row>
    <row r="210" spans="1:19" ht="12.75" hidden="1">
      <c r="A210" s="21">
        <f aca="true" t="shared" si="38" ref="A210:A241">A209+$B$197</f>
        <v>0.7040562054982111</v>
      </c>
      <c r="B210">
        <f aca="true" t="shared" si="39" ref="B210:B231">(EXP(((LN(A210)-$T$13)^2)/(-2*($T$14^2))))/(A210*$T$14*SQRT(2*PI()))</f>
        <v>0.011671509511132279</v>
      </c>
      <c r="H210" s="13"/>
      <c r="I210" s="13" t="s">
        <v>109</v>
      </c>
      <c r="J210" s="25">
        <f>IF(J209&gt;4,4,J209)</f>
        <v>0.4070692959868953</v>
      </c>
      <c r="K210"/>
      <c r="L210"/>
      <c r="M210" t="s">
        <v>110</v>
      </c>
      <c r="N210">
        <v>-0.85033767</v>
      </c>
      <c r="O210">
        <v>0.76766658</v>
      </c>
      <c r="P210"/>
      <c r="Q210"/>
      <c r="R210"/>
      <c r="S210"/>
    </row>
    <row r="211" spans="1:19" ht="12.75" hidden="1">
      <c r="A211" s="21">
        <f t="shared" si="38"/>
        <v>0.7680613150889576</v>
      </c>
      <c r="B211">
        <f t="shared" si="39"/>
        <v>0.020252704606576584</v>
      </c>
      <c r="H211" s="13"/>
      <c r="I211" s="13" t="s">
        <v>111</v>
      </c>
      <c r="J211" s="16">
        <f>T5</f>
        <v>15</v>
      </c>
      <c r="K211"/>
      <c r="L211"/>
      <c r="M211" t="s">
        <v>112</v>
      </c>
      <c r="N211">
        <v>-0.5258052</v>
      </c>
      <c r="O211">
        <v>3.8716869</v>
      </c>
      <c r="P211"/>
      <c r="Q211"/>
      <c r="R211"/>
      <c r="S211"/>
    </row>
    <row r="212" spans="1:19" ht="12.75" hidden="1">
      <c r="A212" s="21">
        <f t="shared" si="38"/>
        <v>0.832066424679704</v>
      </c>
      <c r="B212">
        <f t="shared" si="39"/>
        <v>0.03229584759898234</v>
      </c>
      <c r="H212" s="13"/>
      <c r="I212" s="13" t="s">
        <v>113</v>
      </c>
      <c r="J212" s="13">
        <v>0.05</v>
      </c>
      <c r="K212"/>
      <c r="L212"/>
      <c r="M212" t="s">
        <v>114</v>
      </c>
      <c r="N212">
        <v>0.92416176</v>
      </c>
      <c r="O212">
        <v>0.80598919</v>
      </c>
      <c r="P212"/>
      <c r="Q212"/>
      <c r="R212"/>
      <c r="S212"/>
    </row>
    <row r="213" spans="1:19" ht="12.75" hidden="1">
      <c r="A213" s="21">
        <f t="shared" si="38"/>
        <v>0.8960715342704505</v>
      </c>
      <c r="B213">
        <f t="shared" si="39"/>
        <v>0.04806331413455512</v>
      </c>
      <c r="H213" s="13"/>
      <c r="I213" s="13" t="s">
        <v>115</v>
      </c>
      <c r="J213" s="13">
        <v>0.95</v>
      </c>
      <c r="K213"/>
      <c r="L213"/>
      <c r="M213" t="s">
        <v>116</v>
      </c>
      <c r="N213">
        <v>3.3298209</v>
      </c>
      <c r="O213">
        <v>6.0321019</v>
      </c>
      <c r="P213"/>
      <c r="Q213"/>
      <c r="R213"/>
      <c r="S213"/>
    </row>
    <row r="214" spans="1:19" ht="12.75" hidden="1">
      <c r="A214" s="21">
        <f t="shared" si="38"/>
        <v>0.960076643861197</v>
      </c>
      <c r="B214">
        <f t="shared" si="39"/>
        <v>0.06754993916749748</v>
      </c>
      <c r="H214" s="13"/>
      <c r="I214" s="13" t="s">
        <v>117</v>
      </c>
      <c r="J214" s="16">
        <f>J202</f>
        <v>2.6932780852502725</v>
      </c>
      <c r="K214" s="14" t="s">
        <v>118</v>
      </c>
      <c r="L214"/>
      <c r="M214" t="s">
        <v>119</v>
      </c>
      <c r="N214">
        <v>0.94348568</v>
      </c>
      <c r="O214">
        <v>0.89998154</v>
      </c>
      <c r="P214"/>
      <c r="Q214"/>
      <c r="R214"/>
      <c r="S214"/>
    </row>
    <row r="215" spans="1:19" ht="12.75" hidden="1">
      <c r="A215" s="21">
        <f t="shared" si="38"/>
        <v>1.0240817534519435</v>
      </c>
      <c r="B215">
        <f t="shared" si="39"/>
        <v>0.0904898510684037</v>
      </c>
      <c r="H215" s="13"/>
      <c r="I215" s="13" t="s">
        <v>120</v>
      </c>
      <c r="J215" s="13">
        <f>J209*(SQRT((J211-1)/J211))</f>
        <v>0.39326630199681334</v>
      </c>
      <c r="K215"/>
      <c r="L215"/>
      <c r="M215" t="s">
        <v>121</v>
      </c>
      <c r="N215">
        <v>1.3213281</v>
      </c>
      <c r="O215">
        <v>2.012669</v>
      </c>
      <c r="P215"/>
      <c r="Q215"/>
      <c r="R215"/>
      <c r="S215"/>
    </row>
    <row r="216" spans="1:19" ht="12.75" hidden="1">
      <c r="A216" s="21">
        <f t="shared" si="38"/>
        <v>1.08808686304269</v>
      </c>
      <c r="B216">
        <f t="shared" si="39"/>
        <v>0.11639407689447284</v>
      </c>
      <c r="H216" s="13"/>
      <c r="I216" s="13" t="s">
        <v>122</v>
      </c>
      <c r="J216" s="13">
        <f>IF(J211&gt;2,L224,L223)</f>
        <v>-1.6244203599231746</v>
      </c>
      <c r="K216"/>
      <c r="L216"/>
      <c r="M216" t="s">
        <v>123</v>
      </c>
      <c r="N216">
        <v>0.8155562</v>
      </c>
      <c r="O216">
        <v>0.21978875</v>
      </c>
      <c r="P216"/>
      <c r="Q216"/>
      <c r="R216"/>
      <c r="S216"/>
    </row>
    <row r="217" spans="1:19" ht="12.75" hidden="1">
      <c r="A217" s="21">
        <f t="shared" si="38"/>
        <v>1.1520919726334367</v>
      </c>
      <c r="B217">
        <f t="shared" si="39"/>
        <v>0.14460676867755706</v>
      </c>
      <c r="H217" s="13"/>
      <c r="I217" s="13" t="s">
        <v>124</v>
      </c>
      <c r="J217" s="13">
        <f>IF(J211&gt;2,J224,J223)</f>
        <v>1.9413745719504203</v>
      </c>
      <c r="K217"/>
      <c r="L217"/>
      <c r="M217" t="s">
        <v>125</v>
      </c>
      <c r="N217">
        <v>-1.018148</v>
      </c>
      <c r="O217">
        <v>0.41575588</v>
      </c>
      <c r="P217"/>
      <c r="Q217"/>
      <c r="R217"/>
      <c r="S217"/>
    </row>
    <row r="218" spans="1:19" ht="12.75" hidden="1">
      <c r="A218" s="21">
        <f t="shared" si="38"/>
        <v>1.2160970822241832</v>
      </c>
      <c r="B218">
        <f t="shared" si="39"/>
        <v>0.17436858591086107</v>
      </c>
      <c r="H218" s="13"/>
      <c r="I218" s="13" t="s">
        <v>126</v>
      </c>
      <c r="J218" s="13">
        <f>EXP((LN(J214))+(J216*(J209/(SQRT(J211-1)))))</f>
        <v>2.2569901484567523</v>
      </c>
      <c r="K218"/>
      <c r="L218"/>
      <c r="M218" t="s">
        <v>127</v>
      </c>
      <c r="N218">
        <v>0.25248895</v>
      </c>
      <c r="O218">
        <v>0.29258276</v>
      </c>
      <c r="P218"/>
      <c r="Q218"/>
      <c r="R218"/>
      <c r="S218"/>
    </row>
    <row r="219" spans="1:19" ht="12.75" hidden="1">
      <c r="A219" s="21">
        <f t="shared" si="38"/>
        <v>1.2801021918149298</v>
      </c>
      <c r="B219">
        <f t="shared" si="39"/>
        <v>0.20487822513617876</v>
      </c>
      <c r="H219"/>
      <c r="I219" s="13" t="s">
        <v>128</v>
      </c>
      <c r="J219" s="13">
        <f>EXP((LN(J214))+(J217*(J209/(SQRT(J211-1)))))</f>
        <v>3.326659595877428</v>
      </c>
      <c r="K219"/>
      <c r="L219"/>
      <c r="M219"/>
      <c r="N219"/>
      <c r="O219"/>
      <c r="P219"/>
      <c r="Q219"/>
      <c r="R219"/>
      <c r="S219"/>
    </row>
    <row r="220" spans="1:19" ht="12.75" hidden="1">
      <c r="A220" s="21">
        <f t="shared" si="38"/>
        <v>1.3441073014056764</v>
      </c>
      <c r="B220">
        <f t="shared" si="39"/>
        <v>0.23534609180553595</v>
      </c>
      <c r="H220"/>
      <c r="I220" s="15" t="s">
        <v>129</v>
      </c>
      <c r="J220"/>
      <c r="K220"/>
      <c r="L220"/>
      <c r="M220" t="s">
        <v>130</v>
      </c>
      <c r="N220">
        <f>N210/(((J211-2)^N212))+N211</f>
        <v>-0.6052613595154868</v>
      </c>
      <c r="O220">
        <f>J210*(O218+(1/((J211-2)^O212)))</f>
        <v>0.17060558698356432</v>
      </c>
      <c r="P220"/>
      <c r="Q220"/>
      <c r="R220"/>
      <c r="S220"/>
    </row>
    <row r="221" spans="1:19" ht="12.75" hidden="1">
      <c r="A221" s="21">
        <f t="shared" si="38"/>
        <v>1.408112410996423</v>
      </c>
      <c r="B221">
        <f t="shared" si="39"/>
        <v>0.2650369023651273</v>
      </c>
      <c r="H221"/>
      <c r="I221"/>
      <c r="J221"/>
      <c r="K221"/>
      <c r="L221"/>
      <c r="M221" t="s">
        <v>131</v>
      </c>
      <c r="N221">
        <f>N213/(((J211-2)^N215))+N214</f>
        <v>1.0558261461613183</v>
      </c>
      <c r="O221">
        <f>O211+(O213/((J211-2)^O212))</f>
        <v>4.634893942564025</v>
      </c>
      <c r="P221"/>
      <c r="Q221"/>
      <c r="R221"/>
      <c r="S221"/>
    </row>
    <row r="222" spans="1:19" ht="12.75" hidden="1">
      <c r="A222" s="21">
        <f t="shared" si="38"/>
        <v>1.4721175205871695</v>
      </c>
      <c r="B222">
        <f t="shared" si="39"/>
        <v>0.29330022042479315</v>
      </c>
      <c r="H222"/>
      <c r="I222" t="s">
        <v>62</v>
      </c>
      <c r="J222" t="s">
        <v>132</v>
      </c>
      <c r="K222" t="s">
        <v>62</v>
      </c>
      <c r="L222" t="s">
        <v>133</v>
      </c>
      <c r="M222" t="s">
        <v>134</v>
      </c>
      <c r="N222">
        <f>N216/(((J211-2)^N218))+N217</f>
        <v>-0.5913764047430357</v>
      </c>
      <c r="O222">
        <f>O220*(1-(O214*EXP(-O215*O220)))</f>
        <v>0.061686990668790326</v>
      </c>
      <c r="P222"/>
      <c r="Q222"/>
      <c r="R222"/>
      <c r="S222"/>
    </row>
    <row r="223" spans="1:19" ht="12.75" hidden="1">
      <c r="A223" s="21">
        <f t="shared" si="38"/>
        <v>1.536122630177916</v>
      </c>
      <c r="B223">
        <f t="shared" si="39"/>
        <v>0.31958947466193394</v>
      </c>
      <c r="H223"/>
      <c r="I223" t="s">
        <v>135</v>
      </c>
      <c r="J223" t="s">
        <v>136</v>
      </c>
      <c r="K223" t="s">
        <v>135</v>
      </c>
      <c r="L223" t="s">
        <v>136</v>
      </c>
      <c r="M223" t="s">
        <v>137</v>
      </c>
      <c r="N223">
        <f>-0.6226/(((J211-2)^0.2426))+1.147</f>
        <v>0.8128307691374416</v>
      </c>
      <c r="O223">
        <f>1+(O216*EXP(-O217*O220))</f>
        <v>1.2047391196864738</v>
      </c>
      <c r="P223"/>
      <c r="Q223"/>
      <c r="R223"/>
      <c r="S223"/>
    </row>
    <row r="224" spans="1:19" ht="12.75" hidden="1">
      <c r="A224" s="21">
        <f t="shared" si="38"/>
        <v>1.6001277397686626</v>
      </c>
      <c r="B224">
        <f t="shared" si="39"/>
        <v>0.34347093593058875</v>
      </c>
      <c r="H224"/>
      <c r="I224" t="s">
        <v>138</v>
      </c>
      <c r="J224">
        <f>1.645+O210/(J211-2)+O224</f>
        <v>1.9413745719504203</v>
      </c>
      <c r="K224" t="s">
        <v>138</v>
      </c>
      <c r="L224">
        <f>-0.74295/(J211-2)-1.64765+J210*(N222+N221*EXP(N220*(J210^N223)))</f>
        <v>-1.6244203599231746</v>
      </c>
      <c r="M224" t="s">
        <v>139</v>
      </c>
      <c r="N224"/>
      <c r="O224">
        <f>O221*O222/O223</f>
        <v>0.23732329656580495</v>
      </c>
      <c r="P224"/>
      <c r="Q224"/>
      <c r="R224"/>
      <c r="S224"/>
    </row>
    <row r="225" spans="1:19" ht="12.75" hidden="1">
      <c r="A225" s="21">
        <f t="shared" si="38"/>
        <v>1.6641328493594092</v>
      </c>
      <c r="B225">
        <f t="shared" si="39"/>
        <v>0.36462457271798887</v>
      </c>
      <c r="H225"/>
      <c r="I225"/>
      <c r="J225"/>
      <c r="K225"/>
      <c r="L225"/>
      <c r="M225"/>
      <c r="N225"/>
      <c r="O225"/>
      <c r="P225"/>
      <c r="Q225"/>
      <c r="R225"/>
      <c r="S225"/>
    </row>
    <row r="226" spans="1:19" ht="12.75" hidden="1">
      <c r="A226" s="21">
        <f t="shared" si="38"/>
        <v>1.7281379589501558</v>
      </c>
      <c r="B226">
        <f t="shared" si="39"/>
        <v>0.38283879746777477</v>
      </c>
      <c r="H226"/>
      <c r="I226" s="30" t="s">
        <v>140</v>
      </c>
      <c r="J226"/>
      <c r="K226"/>
      <c r="L226"/>
      <c r="M226"/>
      <c r="N226"/>
      <c r="O226"/>
      <c r="P226"/>
      <c r="Q226"/>
      <c r="R226"/>
      <c r="S226"/>
    </row>
    <row r="227" spans="1:20" ht="12.75" hidden="1">
      <c r="A227" s="21">
        <f t="shared" si="38"/>
        <v>1.7921430685409023</v>
      </c>
      <c r="B227">
        <f t="shared" si="39"/>
        <v>0.39800098688975327</v>
      </c>
      <c r="H227"/>
      <c r="I227" s="31" t="s">
        <v>141</v>
      </c>
      <c r="J227" s="31"/>
      <c r="K227" s="31"/>
      <c r="L227" s="31"/>
      <c r="M227" s="31"/>
      <c r="N227" s="31"/>
      <c r="O227" s="31"/>
      <c r="P227" s="31"/>
      <c r="Q227" s="31" t="s">
        <v>142</v>
      </c>
      <c r="R227" s="31"/>
      <c r="S227" s="31"/>
      <c r="T227" s="31"/>
    </row>
    <row r="228" spans="1:20" ht="12.75" hidden="1">
      <c r="A228" s="21">
        <f t="shared" si="38"/>
        <v>1.856148178131649</v>
      </c>
      <c r="B228">
        <f t="shared" si="39"/>
        <v>0.4100854068513908</v>
      </c>
      <c r="H228"/>
      <c r="I228" s="31" t="s">
        <v>111</v>
      </c>
      <c r="J228" s="31">
        <v>3</v>
      </c>
      <c r="K228" s="31">
        <v>4</v>
      </c>
      <c r="L228" s="31">
        <v>5</v>
      </c>
      <c r="M228" s="31">
        <v>6</v>
      </c>
      <c r="N228" s="31">
        <v>7</v>
      </c>
      <c r="O228" s="31" t="s">
        <v>143</v>
      </c>
      <c r="P228" s="31"/>
      <c r="Q228" s="31">
        <v>3</v>
      </c>
      <c r="R228" s="31">
        <v>4</v>
      </c>
      <c r="S228" s="31">
        <v>5</v>
      </c>
      <c r="T228" s="31" t="s">
        <v>144</v>
      </c>
    </row>
    <row r="229" spans="1:20" ht="12.75" hidden="1">
      <c r="A229" s="21">
        <f t="shared" si="38"/>
        <v>1.9201532877223955</v>
      </c>
      <c r="B229">
        <f t="shared" si="39"/>
        <v>0.41913986889784116</v>
      </c>
      <c r="H229"/>
      <c r="I229" s="31" t="s">
        <v>110</v>
      </c>
      <c r="J229" s="31">
        <v>2.3828099</v>
      </c>
      <c r="K229" s="31">
        <v>2.0366181</v>
      </c>
      <c r="L229" s="31">
        <v>1.9107517</v>
      </c>
      <c r="M229" s="31">
        <v>1.8365941</v>
      </c>
      <c r="N229" s="31">
        <v>1.7994842</v>
      </c>
      <c r="O229" s="31">
        <v>1.642361</v>
      </c>
      <c r="P229" s="31"/>
      <c r="Q229" s="31">
        <v>-2.3865193</v>
      </c>
      <c r="R229" s="31">
        <v>-2.0397149</v>
      </c>
      <c r="S229" s="31">
        <v>-1.9080983</v>
      </c>
      <c r="T229" s="31">
        <v>-1.6652843</v>
      </c>
    </row>
    <row r="230" spans="1:20" ht="12.75" hidden="1">
      <c r="A230" s="21">
        <f t="shared" si="38"/>
        <v>1.984158397313142</v>
      </c>
      <c r="B230">
        <f t="shared" si="39"/>
        <v>0.4252721386624002</v>
      </c>
      <c r="H230"/>
      <c r="I230" s="31" t="s">
        <v>112</v>
      </c>
      <c r="J230" s="31">
        <v>-1.9078016</v>
      </c>
      <c r="K230" s="31">
        <v>-1.6251828</v>
      </c>
      <c r="L230" s="31">
        <v>-0.75392424</v>
      </c>
      <c r="M230" s="31">
        <v>0.12293613</v>
      </c>
      <c r="N230" s="31">
        <v>-0.66799472</v>
      </c>
      <c r="O230" s="31">
        <v>-0.089895706</v>
      </c>
      <c r="P230" s="31"/>
      <c r="Q230" s="31">
        <v>1.7079129</v>
      </c>
      <c r="R230" s="31">
        <v>1.1478581</v>
      </c>
      <c r="S230" s="31">
        <v>0.92104952</v>
      </c>
      <c r="T230" s="31">
        <v>0.10902402</v>
      </c>
    </row>
    <row r="231" spans="1:20" ht="12.75" hidden="1">
      <c r="A231" s="21">
        <f t="shared" si="38"/>
        <v>2.0481635069038884</v>
      </c>
      <c r="B231">
        <f t="shared" si="39"/>
        <v>0.4286368349523969</v>
      </c>
      <c r="H231"/>
      <c r="I231" s="31" t="s">
        <v>114</v>
      </c>
      <c r="J231" s="31">
        <v>-1.2992597</v>
      </c>
      <c r="K231" s="31">
        <v>-1.6229194</v>
      </c>
      <c r="L231" s="31">
        <v>-0.42339524</v>
      </c>
      <c r="M231" s="31">
        <v>1.3030195</v>
      </c>
      <c r="N231" s="31">
        <v>-0.44540781</v>
      </c>
      <c r="O231" s="31">
        <v>2.858099</v>
      </c>
      <c r="P231" s="31"/>
      <c r="Q231" s="31">
        <v>-0.97733458</v>
      </c>
      <c r="R231" s="31">
        <v>-0.69548849</v>
      </c>
      <c r="S231" s="31">
        <v>-0.58741405</v>
      </c>
      <c r="T231" s="31">
        <v>0.41441365</v>
      </c>
    </row>
    <row r="232" spans="1:20" ht="12.75" hidden="1">
      <c r="A232" s="21">
        <f t="shared" si="38"/>
        <v>2.112168616494635</v>
      </c>
      <c r="B232">
        <f aca="true" t="shared" si="40" ref="B232:B263">(EXP(((LN(A232)-$T$13)^2)/(-2*($T$14^2))))/(A232*$T$14*SQRT(2*PI()))</f>
        <v>0.42942331662878175</v>
      </c>
      <c r="H232"/>
      <c r="I232" s="31" t="s">
        <v>116</v>
      </c>
      <c r="J232" s="31">
        <v>5.2917837</v>
      </c>
      <c r="K232" s="31">
        <v>2.6423742</v>
      </c>
      <c r="L232" s="31">
        <v>0.89103098</v>
      </c>
      <c r="M232" s="31">
        <v>1.5345558</v>
      </c>
      <c r="N232" s="31">
        <v>0.85685751</v>
      </c>
      <c r="O232" s="31">
        <v>0.69351183</v>
      </c>
      <c r="P232" s="31"/>
      <c r="Q232" s="31">
        <v>-0.036191266</v>
      </c>
      <c r="R232" s="31">
        <v>-0.018545416</v>
      </c>
      <c r="S232" s="31">
        <v>-0.009714496</v>
      </c>
      <c r="T232" s="31">
        <v>-0.41101237</v>
      </c>
    </row>
    <row r="233" spans="1:20" ht="12.75" hidden="1">
      <c r="A233" s="21">
        <f t="shared" si="38"/>
        <v>2.1761737260853815</v>
      </c>
      <c r="B233">
        <f t="shared" si="40"/>
        <v>0.4278448575197206</v>
      </c>
      <c r="H233"/>
      <c r="I233" s="31" t="s">
        <v>119</v>
      </c>
      <c r="J233" s="31">
        <v>7.986645</v>
      </c>
      <c r="K233" s="31">
        <v>4.0754459</v>
      </c>
      <c r="L233" s="31">
        <v>2.7606354</v>
      </c>
      <c r="M233" s="31">
        <v>2.6593492</v>
      </c>
      <c r="N233" s="31">
        <v>2.02724</v>
      </c>
      <c r="O233" s="31">
        <v>-40.990924</v>
      </c>
      <c r="P233" s="31"/>
      <c r="Q233" s="31">
        <v>-0.62035479</v>
      </c>
      <c r="R233" s="31">
        <v>-0.52301624</v>
      </c>
      <c r="S233" s="31">
        <v>-0.49022279</v>
      </c>
      <c r="T233" s="31">
        <v>-16.464546</v>
      </c>
    </row>
    <row r="234" spans="1:20" ht="12.75" hidden="1">
      <c r="A234" s="21">
        <f t="shared" si="38"/>
        <v>2.240178835676128</v>
      </c>
      <c r="B234">
        <f t="shared" si="40"/>
        <v>0.42412925653703193</v>
      </c>
      <c r="H234"/>
      <c r="I234" s="31" t="s">
        <v>145</v>
      </c>
      <c r="J234" s="31">
        <v>-0.68237045</v>
      </c>
      <c r="K234" s="31">
        <v>-1.0014933</v>
      </c>
      <c r="L234" s="31">
        <v>-0.18397782</v>
      </c>
      <c r="M234" s="31">
        <v>-0.48014164</v>
      </c>
      <c r="N234" s="31">
        <v>0.11982844</v>
      </c>
      <c r="O234" s="31">
        <v>5.2690665</v>
      </c>
      <c r="P234" s="31"/>
      <c r="Q234" s="31"/>
      <c r="R234" s="31"/>
      <c r="S234" s="31"/>
      <c r="T234" s="31">
        <v>4.2113052</v>
      </c>
    </row>
    <row r="235" spans="1:20" ht="12.75" hidden="1">
      <c r="A235" s="21">
        <f t="shared" si="38"/>
        <v>2.3041839452668746</v>
      </c>
      <c r="B235">
        <f t="shared" si="40"/>
        <v>0.41851091656943373</v>
      </c>
      <c r="H235"/>
      <c r="I235" s="31" t="s">
        <v>123</v>
      </c>
      <c r="J235" s="31">
        <v>31.32989</v>
      </c>
      <c r="K235" s="31">
        <v>3.4090807</v>
      </c>
      <c r="L235" s="31">
        <v>0.13008099</v>
      </c>
      <c r="M235" s="31">
        <v>4.8166929</v>
      </c>
      <c r="N235" s="31">
        <v>0.48077011</v>
      </c>
      <c r="O235" s="31">
        <v>-0.13243949</v>
      </c>
      <c r="P235" s="31"/>
      <c r="Q235" s="31"/>
      <c r="R235" s="31"/>
      <c r="S235" s="31"/>
      <c r="T235" s="31">
        <v>0.066100924</v>
      </c>
    </row>
    <row r="236" spans="1:20" ht="12.75" hidden="1">
      <c r="A236" s="21">
        <f t="shared" si="38"/>
        <v>2.368189054857621</v>
      </c>
      <c r="B236">
        <f t="shared" si="40"/>
        <v>0.41122434573141387</v>
      </c>
      <c r="H236"/>
      <c r="I236" s="31" t="s">
        <v>125</v>
      </c>
      <c r="J236" s="31">
        <v>0.54527619</v>
      </c>
      <c r="K236" s="31">
        <v>0.2945552</v>
      </c>
      <c r="L236" s="31">
        <v>0.053432081</v>
      </c>
      <c r="M236" s="31">
        <v>0.0039733022</v>
      </c>
      <c r="N236" s="31">
        <v>0.023989184</v>
      </c>
      <c r="O236" s="31">
        <v>182.18949</v>
      </c>
      <c r="P236" s="31"/>
      <c r="Q236" s="31"/>
      <c r="R236" s="31"/>
      <c r="S236" s="31"/>
      <c r="T236" s="31">
        <v>55.619447</v>
      </c>
    </row>
    <row r="237" spans="1:20" ht="13.5" hidden="1" thickBot="1">
      <c r="A237" s="21">
        <f t="shared" si="38"/>
        <v>2.432194164448368</v>
      </c>
      <c r="B237">
        <f t="shared" si="40"/>
        <v>0.40249898188955807</v>
      </c>
      <c r="H237"/>
      <c r="I237" s="31" t="s">
        <v>146</v>
      </c>
      <c r="J237" s="31">
        <v>14.16984</v>
      </c>
      <c r="K237" s="31">
        <v>0.62956063</v>
      </c>
      <c r="L237" s="31">
        <v>0.53746226</v>
      </c>
      <c r="M237" s="31">
        <v>-1.6148013</v>
      </c>
      <c r="N237" s="31">
        <v>1.065744</v>
      </c>
      <c r="O237" s="31">
        <v>24.118101</v>
      </c>
      <c r="P237" s="31"/>
      <c r="Q237" s="31"/>
      <c r="R237" s="31"/>
      <c r="S237" s="31"/>
      <c r="T237" s="31">
        <v>-7.8131037</v>
      </c>
    </row>
    <row r="238" spans="1:25" ht="13.5" hidden="1" thickBot="1">
      <c r="A238" s="21">
        <f t="shared" si="38"/>
        <v>2.4961992740391143</v>
      </c>
      <c r="B238">
        <f t="shared" si="40"/>
        <v>0.39255521011587097</v>
      </c>
      <c r="H238"/>
      <c r="I238" s="31" t="s">
        <v>147</v>
      </c>
      <c r="J238" s="31">
        <v>-0.066913335</v>
      </c>
      <c r="K238" s="31">
        <v>-0.031880045</v>
      </c>
      <c r="L238" s="31">
        <v>-0.0038110232</v>
      </c>
      <c r="M238" s="31">
        <v>0</v>
      </c>
      <c r="N238" s="31">
        <v>0</v>
      </c>
      <c r="O238" s="31">
        <v>1.588055</v>
      </c>
      <c r="P238" s="31"/>
      <c r="Q238" s="31"/>
      <c r="R238" s="31"/>
      <c r="S238" s="31"/>
      <c r="T238" s="31">
        <v>-0.22232527</v>
      </c>
      <c r="W238" s="54" t="s">
        <v>148</v>
      </c>
      <c r="X238" s="55"/>
      <c r="Y238" s="56"/>
    </row>
    <row r="239" spans="1:25" ht="13.5" hidden="1" thickBot="1">
      <c r="A239" s="21">
        <f t="shared" si="38"/>
        <v>2.560204383629861</v>
      </c>
      <c r="B239">
        <f t="shared" si="40"/>
        <v>0.3816014275499275</v>
      </c>
      <c r="H239"/>
      <c r="I239"/>
      <c r="J239"/>
      <c r="K239"/>
      <c r="L239"/>
      <c r="M239"/>
      <c r="N239"/>
      <c r="O239"/>
      <c r="P239"/>
      <c r="Q239"/>
      <c r="R239" s="32" t="s">
        <v>149</v>
      </c>
      <c r="S239" s="101" t="s">
        <v>150</v>
      </c>
      <c r="T239" s="102" t="s">
        <v>151</v>
      </c>
      <c r="W239" s="57"/>
      <c r="X239" s="58" t="s">
        <v>150</v>
      </c>
      <c r="Y239" s="59" t="s">
        <v>151</v>
      </c>
    </row>
    <row r="240" spans="1:25" ht="12.75" hidden="1">
      <c r="A240" s="21">
        <f t="shared" si="38"/>
        <v>2.6242094932206075</v>
      </c>
      <c r="B240">
        <f t="shared" si="40"/>
        <v>0.3698320066316258</v>
      </c>
      <c r="H240"/>
      <c r="I240"/>
      <c r="J240"/>
      <c r="K240"/>
      <c r="L240"/>
      <c r="M240"/>
      <c r="N240" s="32" t="s">
        <v>152</v>
      </c>
      <c r="O240" s="38"/>
      <c r="P240"/>
      <c r="Q240"/>
      <c r="R240" s="103" t="s">
        <v>153</v>
      </c>
      <c r="S240" s="52">
        <f>J247</f>
        <v>1.7233713140868834</v>
      </c>
      <c r="T240" s="35">
        <f>Y240</f>
        <v>-1.7233713140868834</v>
      </c>
      <c r="W240" s="57" t="s">
        <v>153</v>
      </c>
      <c r="X240" s="58">
        <f>S240</f>
        <v>1.7233713140868834</v>
      </c>
      <c r="Y240" s="59">
        <f>-X240</f>
        <v>-1.7233713140868834</v>
      </c>
    </row>
    <row r="241" spans="1:25" ht="12.75" hidden="1">
      <c r="A241" s="21">
        <f t="shared" si="38"/>
        <v>2.688214602811354</v>
      </c>
      <c r="B241">
        <f t="shared" si="40"/>
        <v>0.3574260121756799</v>
      </c>
      <c r="H241"/>
      <c r="I241"/>
      <c r="J241"/>
      <c r="K241"/>
      <c r="L241"/>
      <c r="M241"/>
      <c r="N241" s="33" t="s">
        <v>111</v>
      </c>
      <c r="O241" s="34">
        <f>J243</f>
        <v>15</v>
      </c>
      <c r="P241"/>
      <c r="Q241"/>
      <c r="R241" s="103" t="s">
        <v>154</v>
      </c>
      <c r="S241" s="52">
        <f>X245</f>
        <v>1</v>
      </c>
      <c r="T241" s="35">
        <f>Y245</f>
        <v>2</v>
      </c>
      <c r="W241" s="57" t="s">
        <v>155</v>
      </c>
      <c r="X241" s="58">
        <f>IF(X240&lt;=3,1,0)</f>
        <v>1</v>
      </c>
      <c r="Y241" s="59">
        <f>IF(Y240&lt;=3,1,0)</f>
        <v>1</v>
      </c>
    </row>
    <row r="242" spans="1:25" ht="12.75" hidden="1">
      <c r="A242" s="21">
        <f aca="true" t="shared" si="41" ref="A242:A273">A241+$B$197</f>
        <v>2.7522197124021006</v>
      </c>
      <c r="B242">
        <f t="shared" si="40"/>
        <v>0.34454653745826314</v>
      </c>
      <c r="E242" s="13" t="s">
        <v>156</v>
      </c>
      <c r="F242"/>
      <c r="G242"/>
      <c r="H242"/>
      <c r="I242"/>
      <c r="J242" s="13"/>
      <c r="K242"/>
      <c r="L242"/>
      <c r="M242"/>
      <c r="N242" s="33" t="s">
        <v>110</v>
      </c>
      <c r="O242" s="35">
        <f>HLOOKUP(J243,J253:Q263,2)</f>
        <v>0.29158511</v>
      </c>
      <c r="P242"/>
      <c r="Q242"/>
      <c r="R242" s="103" t="s">
        <v>110</v>
      </c>
      <c r="S242" s="52">
        <f>HLOOKUP(S241,T256:W266,2)</f>
        <v>0.82705588</v>
      </c>
      <c r="T242" s="35">
        <f>HLOOKUP(T241,T256:W268,2)</f>
        <v>0.9159042</v>
      </c>
      <c r="W242" s="63" t="s">
        <v>157</v>
      </c>
      <c r="X242" s="58">
        <f>IF(X240&lt;0,1,0)</f>
        <v>0</v>
      </c>
      <c r="Y242" s="59">
        <f>IF(Y240&lt;0,1,0)</f>
        <v>1</v>
      </c>
    </row>
    <row r="243" spans="1:25" ht="12.75" hidden="1">
      <c r="A243" s="21">
        <f t="shared" si="41"/>
        <v>2.816224821992847</v>
      </c>
      <c r="B243">
        <f t="shared" si="40"/>
        <v>0.3313405372167092</v>
      </c>
      <c r="F243" s="4" t="s">
        <v>150</v>
      </c>
      <c r="G243" s="4" t="s">
        <v>151</v>
      </c>
      <c r="H243"/>
      <c r="I243" s="13" t="s">
        <v>111</v>
      </c>
      <c r="J243" s="16">
        <f>T5</f>
        <v>15</v>
      </c>
      <c r="K243"/>
      <c r="L243"/>
      <c r="M243"/>
      <c r="N243" s="33" t="s">
        <v>112</v>
      </c>
      <c r="O243" s="35">
        <f>HLOOKUP(J243,J253:Q263,3)</f>
        <v>-0.14267075</v>
      </c>
      <c r="P243"/>
      <c r="Q243"/>
      <c r="R243" s="103" t="s">
        <v>112</v>
      </c>
      <c r="S243" s="52">
        <f>HLOOKUP(S241,T256:W266,3)</f>
        <v>0.47348658</v>
      </c>
      <c r="T243" s="35">
        <f>HLOOKUP(T241,T256:W268,3)</f>
        <v>0.46749901</v>
      </c>
      <c r="W243" s="63" t="s">
        <v>158</v>
      </c>
      <c r="X243" s="58">
        <f>IF(X240&lt;-6,1,0)</f>
        <v>0</v>
      </c>
      <c r="Y243" s="59">
        <f>IF(Y240&lt;-6,1,0)</f>
        <v>0</v>
      </c>
    </row>
    <row r="244" spans="1:25" ht="12.75" hidden="1">
      <c r="A244" s="21">
        <f t="shared" si="41"/>
        <v>2.8802299315835937</v>
      </c>
      <c r="B244">
        <f t="shared" si="40"/>
        <v>0.3179390496366622</v>
      </c>
      <c r="E244" s="4" t="s">
        <v>159</v>
      </c>
      <c r="F244" s="4">
        <f>IF(J243&lt;10,L250*100,M250*100)</f>
        <v>0.8551913302441932</v>
      </c>
      <c r="G244" s="4">
        <f>IF(J243&lt;10,L251*100,M251*100)</f>
        <v>15.271014260097004</v>
      </c>
      <c r="H244"/>
      <c r="I244" s="13" t="s">
        <v>160</v>
      </c>
      <c r="J244" s="13">
        <f>A5</f>
        <v>5</v>
      </c>
      <c r="K244">
        <f>LN(J244)</f>
        <v>1.6094379124341003</v>
      </c>
      <c r="L244" t="s">
        <v>161</v>
      </c>
      <c r="M244"/>
      <c r="N244" s="33" t="s">
        <v>114</v>
      </c>
      <c r="O244" s="35">
        <f>HLOOKUP(J243,J253:Q263,4)</f>
        <v>-0.37596357</v>
      </c>
      <c r="P244"/>
      <c r="Q244"/>
      <c r="R244" s="103" t="s">
        <v>114</v>
      </c>
      <c r="S244" s="52">
        <f>HLOOKUP(S241,T256:W266,4)</f>
        <v>-1.5959026</v>
      </c>
      <c r="T244" s="35">
        <f>HLOOKUP(T241,T256:W268,4)</f>
        <v>-1.5978413</v>
      </c>
      <c r="W244" s="63"/>
      <c r="X244" s="58"/>
      <c r="Y244" s="59"/>
    </row>
    <row r="245" spans="1:25" ht="13.5" hidden="1" thickBot="1">
      <c r="A245" s="21">
        <f t="shared" si="41"/>
        <v>2.9442350411743403</v>
      </c>
      <c r="B245">
        <f t="shared" si="40"/>
        <v>0.30445771389109133</v>
      </c>
      <c r="D245"/>
      <c r="E245" s="4" t="s">
        <v>162</v>
      </c>
      <c r="F245" s="4">
        <f>IF(F244&gt;99.9,"&gt;99.9",F244)</f>
        <v>0.8551913302441932</v>
      </c>
      <c r="G245" s="4">
        <f>IF(G244&gt;99.9,"&gt;99.9",G244)</f>
        <v>15.271014260097004</v>
      </c>
      <c r="H245"/>
      <c r="I245" s="13" t="s">
        <v>163</v>
      </c>
      <c r="J245" s="16">
        <f>T13</f>
        <v>0.9079063648847421</v>
      </c>
      <c r="K245">
        <f>EXP(J245)</f>
        <v>2.479126709468905</v>
      </c>
      <c r="L245" t="s">
        <v>164</v>
      </c>
      <c r="M245"/>
      <c r="N245" s="33" t="s">
        <v>116</v>
      </c>
      <c r="O245" s="35">
        <f>HLOOKUP(J243,J253:Q263,5)</f>
        <v>0.41758212</v>
      </c>
      <c r="P245"/>
      <c r="Q245"/>
      <c r="R245" s="103" t="s">
        <v>116</v>
      </c>
      <c r="S245" s="52">
        <f>HLOOKUP(S241,T256:W266,5)</f>
        <v>-0.35885104</v>
      </c>
      <c r="T245" s="35">
        <f>HLOOKUP(T241,T256:W268,5)</f>
        <v>-0.21867454</v>
      </c>
      <c r="W245" s="64" t="s">
        <v>154</v>
      </c>
      <c r="X245" s="65">
        <f>SUM(X241:X244)</f>
        <v>1</v>
      </c>
      <c r="Y245" s="66">
        <f>SUM(Y241:Y244)</f>
        <v>2</v>
      </c>
    </row>
    <row r="246" spans="1:23" ht="13.5" hidden="1" thickBot="1">
      <c r="A246" s="21">
        <f t="shared" si="41"/>
        <v>3.008240150765087</v>
      </c>
      <c r="B246">
        <f t="shared" si="40"/>
        <v>0.29099750383874823</v>
      </c>
      <c r="D246"/>
      <c r="E246" s="4" t="s">
        <v>165</v>
      </c>
      <c r="F246" s="4">
        <f>IF(F244&lt;0.1,"&lt;0.1",F245)</f>
        <v>0.8551913302441932</v>
      </c>
      <c r="G246" s="4">
        <f>IF(G244&lt;0.1,"&lt;0.1",G245)</f>
        <v>15.271014260097004</v>
      </c>
      <c r="H246"/>
      <c r="I246" s="13" t="s">
        <v>166</v>
      </c>
      <c r="J246" s="16">
        <f>T14</f>
        <v>0.4070692959868953</v>
      </c>
      <c r="K246">
        <f>EXP(J246)</f>
        <v>1.5024082129146348</v>
      </c>
      <c r="L246" t="s">
        <v>167</v>
      </c>
      <c r="M246"/>
      <c r="N246" s="33" t="s">
        <v>119</v>
      </c>
      <c r="O246" s="35">
        <f>HLOOKUP(J243,J253:Q263,6)</f>
        <v>0.2072291</v>
      </c>
      <c r="P246"/>
      <c r="Q246"/>
      <c r="R246" s="103" t="s">
        <v>119</v>
      </c>
      <c r="S246" s="52">
        <f>HLOOKUP(S241,T256:W266,6)</f>
        <v>-0.3762358</v>
      </c>
      <c r="T246" s="35">
        <f>HLOOKUP(T241,T256:W268,6)</f>
        <v>-0.16711347</v>
      </c>
      <c r="V246" s="7"/>
      <c r="W246" s="7"/>
    </row>
    <row r="247" spans="1:23" ht="12.75" hidden="1">
      <c r="A247" s="21">
        <f t="shared" si="41"/>
        <v>3.0722452603558335</v>
      </c>
      <c r="B247">
        <f t="shared" si="40"/>
        <v>0.27764561160026796</v>
      </c>
      <c r="D247"/>
      <c r="E247" s="4" t="s">
        <v>168</v>
      </c>
      <c r="F247" s="4">
        <f>IF(K247&gt;3,"&lt;0.1",F246)</f>
        <v>0.8551913302441932</v>
      </c>
      <c r="G247" s="4">
        <f>IF(K248&gt;3,"&gt;99.9",G246)</f>
        <v>15.271014260097004</v>
      </c>
      <c r="H247"/>
      <c r="I247" s="13" t="s">
        <v>153</v>
      </c>
      <c r="J247" s="13">
        <f>IF(K247&lt;-6,-6,K247)</f>
        <v>1.7233713140868834</v>
      </c>
      <c r="K247">
        <f>(LN(J244)-J245)/J246</f>
        <v>1.7233713140868834</v>
      </c>
      <c r="L247"/>
      <c r="M247"/>
      <c r="N247" s="33" t="s">
        <v>145</v>
      </c>
      <c r="O247" s="35">
        <f>HLOOKUP(J243,J253:Q263,7)</f>
        <v>0.023635477</v>
      </c>
      <c r="P247"/>
      <c r="Q247"/>
      <c r="R247" s="103" t="s">
        <v>145</v>
      </c>
      <c r="S247" s="52">
        <f>HLOOKUP(S241,T256:W266,7)</f>
        <v>-0.0059178009</v>
      </c>
      <c r="T247" s="35">
        <f>HLOOKUP(T241,T256:W268,7)</f>
        <v>-0.055872009</v>
      </c>
      <c r="U247" s="54" t="s">
        <v>169</v>
      </c>
      <c r="V247" s="55" t="s">
        <v>150</v>
      </c>
      <c r="W247" s="56" t="s">
        <v>151</v>
      </c>
    </row>
    <row r="248" spans="1:23" ht="12.75" hidden="1">
      <c r="A248" s="21">
        <f t="shared" si="41"/>
        <v>3.13625036994658</v>
      </c>
      <c r="B248">
        <f t="shared" si="40"/>
        <v>0.2644764266292723</v>
      </c>
      <c r="D248"/>
      <c r="E248" s="4" t="s">
        <v>170</v>
      </c>
      <c r="F248" s="4">
        <f>IF(K247&lt;-6,F252,F247)</f>
        <v>0.8551913302441932</v>
      </c>
      <c r="G248" s="4">
        <f>IF(K248&lt;-6,G252,G247)</f>
        <v>15.271014260097004</v>
      </c>
      <c r="H248"/>
      <c r="I248" s="2" t="s">
        <v>171</v>
      </c>
      <c r="J248" s="13">
        <f>IF(K248&lt;-6,-6,K248)</f>
        <v>-1.7233713140868834</v>
      </c>
      <c r="K248">
        <f>-K247</f>
        <v>-1.7233713140868834</v>
      </c>
      <c r="L248" t="s">
        <v>172</v>
      </c>
      <c r="M248"/>
      <c r="N248" s="33" t="s">
        <v>123</v>
      </c>
      <c r="O248" s="35">
        <f>HLOOKUP(J243,J253:Q263,8)</f>
        <v>-0.073405376</v>
      </c>
      <c r="P248"/>
      <c r="Q248"/>
      <c r="R248" s="103" t="s">
        <v>123</v>
      </c>
      <c r="S248" s="52">
        <f>HLOOKUP(S241,T256:W266,8)</f>
        <v>0.052553183</v>
      </c>
      <c r="T248" s="35">
        <f>HLOOKUP(T241,T256:W268,8)</f>
        <v>0.078057826</v>
      </c>
      <c r="U248" s="57" t="s">
        <v>130</v>
      </c>
      <c r="V248" s="58">
        <f>(S242/(($J$243-1)^S243))+S244</f>
        <v>-1.358842420025266</v>
      </c>
      <c r="W248" s="59">
        <f>(T242/(($J$243-1)^T243))+T244</f>
        <v>-1.3311331244700866</v>
      </c>
    </row>
    <row r="249" spans="1:23" ht="12.75" hidden="1">
      <c r="A249" s="21">
        <f t="shared" si="41"/>
        <v>3.2002554795373266</v>
      </c>
      <c r="B249">
        <f t="shared" si="40"/>
        <v>0.25155256645402657</v>
      </c>
      <c r="D249"/>
      <c r="E249"/>
      <c r="F249"/>
      <c r="G249"/>
      <c r="H249"/>
      <c r="I249" s="13" t="s">
        <v>173</v>
      </c>
      <c r="J249" s="13">
        <f>1-NORMSDIST(J247)</f>
        <v>0.04241069948145881</v>
      </c>
      <c r="K249"/>
      <c r="L249" t="s">
        <v>174</v>
      </c>
      <c r="M249" t="s">
        <v>175</v>
      </c>
      <c r="N249" s="33" t="s">
        <v>125</v>
      </c>
      <c r="O249" s="35">
        <f>HLOOKUP(J243,J253:Q263,9)</f>
        <v>0.03496479</v>
      </c>
      <c r="P249"/>
      <c r="Q249"/>
      <c r="R249" s="103" t="s">
        <v>125</v>
      </c>
      <c r="S249" s="52">
        <f>HLOOKUP(S241,T256:W266,9)</f>
        <v>0.26488682</v>
      </c>
      <c r="T249" s="35">
        <f>HLOOKUP(T241,T256:W268,9)</f>
        <v>0.28495322</v>
      </c>
      <c r="U249" s="57" t="s">
        <v>131</v>
      </c>
      <c r="V249" s="58">
        <f>(S245*($J$243-1)^S246)*EXP(S247*(LN($J$243-1))^2)</f>
        <v>-0.12758518646310232</v>
      </c>
      <c r="W249" s="59">
        <f>(T245*($J$243-1)^T246)*EXP(T247*(LN($J$243-1))^2)</f>
        <v>-0.09533861912657889</v>
      </c>
    </row>
    <row r="250" spans="1:23" ht="12.75" hidden="1">
      <c r="A250" s="21">
        <f t="shared" si="41"/>
        <v>3.264260589128073</v>
      </c>
      <c r="B250">
        <f t="shared" si="40"/>
        <v>0.23892592445731864</v>
      </c>
      <c r="D250"/>
      <c r="E250"/>
      <c r="F250" s="17">
        <f>F244</f>
        <v>0.8551913302441932</v>
      </c>
      <c r="G250" s="4">
        <f>G244</f>
        <v>15.271014260097004</v>
      </c>
      <c r="H250"/>
      <c r="I250" s="13" t="s">
        <v>176</v>
      </c>
      <c r="J250" s="13">
        <f>F248</f>
        <v>0.8551913302441932</v>
      </c>
      <c r="K250" s="29" t="s">
        <v>150</v>
      </c>
      <c r="L250" s="29">
        <f>(O242+(O244*J247)+(O246*(J247^2))+(O248*(J247^3))+(O250*(J247^4))+(O252*(J247^5)))/(1+(O243*J247)+(O245*(J247^2))+(O247*(J247^3))+(O249*(J247^4))+(O251*(J247^5)))</f>
        <v>0.004775908010429874</v>
      </c>
      <c r="M250">
        <f>V252</f>
        <v>0.008551913302441932</v>
      </c>
      <c r="N250" s="33" t="s">
        <v>146</v>
      </c>
      <c r="O250" s="35">
        <f>HLOOKUP(J243,J253:Q263,10)</f>
        <v>0.018251034</v>
      </c>
      <c r="P250"/>
      <c r="Q250"/>
      <c r="R250" s="103" t="s">
        <v>146</v>
      </c>
      <c r="S250" s="52">
        <f>HLOOKUP(S241,T256:W266,10)</f>
        <v>-0.075413666</v>
      </c>
      <c r="T250" s="35">
        <f>HLOOKUP(T241,T256:W268,10)</f>
        <v>-0.073167856</v>
      </c>
      <c r="U250" s="57" t="s">
        <v>134</v>
      </c>
      <c r="V250" s="58">
        <f>(S248/($J$243-1)^S249)+S250</f>
        <v>-0.04929176287642642</v>
      </c>
      <c r="W250" s="59">
        <f>(T248/($J$243-1)^T249)+T250</f>
        <v>-0.036369910045817314</v>
      </c>
    </row>
    <row r="251" spans="1:23" ht="13.5" hidden="1" thickBot="1">
      <c r="A251" s="21">
        <f t="shared" si="41"/>
        <v>3.3282656987188197</v>
      </c>
      <c r="B251">
        <f t="shared" si="40"/>
        <v>0.22663870793285287</v>
      </c>
      <c r="E251"/>
      <c r="F251" s="4" t="str">
        <f>FIXED(F250,3)</f>
        <v>0.855</v>
      </c>
      <c r="G251" s="4" t="str">
        <f>FIXED(G250,3)</f>
        <v>15.271</v>
      </c>
      <c r="H251"/>
      <c r="I251" s="87" t="s">
        <v>177</v>
      </c>
      <c r="J251" s="87">
        <f>G248</f>
        <v>15.271014260097004</v>
      </c>
      <c r="K251" s="88" t="s">
        <v>151</v>
      </c>
      <c r="L251" s="88">
        <f>1-((O242+(O244*J248)+(O246*(J248^2))+(O248*(J248^3))+(O250*(J248^4))+(O252*(J248^5)))/(1+(O243*J248)+(O245*(J248^2))+(O247*(J248^3))+(O249*(J248^4))+(O251*(J248^5))))</f>
        <v>0.21067307913986189</v>
      </c>
      <c r="M251" s="88">
        <f>1-W252</f>
        <v>0.15271014260097004</v>
      </c>
      <c r="N251" s="33" t="s">
        <v>147</v>
      </c>
      <c r="O251" s="35">
        <f>HLOOKUP(J243,J253:Q263,11)</f>
        <v>-0.0011924843</v>
      </c>
      <c r="P251"/>
      <c r="Q251"/>
      <c r="R251" s="103" t="s">
        <v>147</v>
      </c>
      <c r="S251" s="52">
        <f>HLOOKUP(S241,T256:W268,11)</f>
        <v>-2.4186812</v>
      </c>
      <c r="T251" s="35">
        <f>HLOOKUP(T241,T256:W268,11)</f>
        <v>-2.4074152</v>
      </c>
      <c r="U251" s="57" t="s">
        <v>137</v>
      </c>
      <c r="V251" s="58">
        <f>(S251/($J$243-1)^S252)+S253</f>
        <v>-1.5751766601913921</v>
      </c>
      <c r="W251" s="59">
        <f>(T251/($J$243-1)^T252)+T253</f>
        <v>-1.5725331793853576</v>
      </c>
    </row>
    <row r="252" spans="1:23" ht="13.5" hidden="1" thickBot="1">
      <c r="A252" s="21">
        <f t="shared" si="41"/>
        <v>3.3922708083095663</v>
      </c>
      <c r="B252">
        <f t="shared" si="40"/>
        <v>0.21472444629392082</v>
      </c>
      <c r="F252" s="4" t="str">
        <f>CONCATENATE("&gt;",F251)</f>
        <v>&gt;0.855</v>
      </c>
      <c r="G252" s="4" t="str">
        <f>CONCATENATE("&lt;",G251)</f>
        <v>&lt;15.271</v>
      </c>
      <c r="H252"/>
      <c r="I252" s="89" t="s">
        <v>178</v>
      </c>
      <c r="J252" s="43"/>
      <c r="K252" s="43"/>
      <c r="L252" s="43"/>
      <c r="M252" s="43"/>
      <c r="N252" s="36" t="s">
        <v>179</v>
      </c>
      <c r="O252" s="37">
        <f>HLOOKUP(J243,J253:Q264,12)</f>
        <v>-0.0021651986</v>
      </c>
      <c r="P252"/>
      <c r="Q252"/>
      <c r="R252" s="103" t="s">
        <v>179</v>
      </c>
      <c r="S252" s="52">
        <f>HLOOKUP(S241,T256:W268,12)</f>
        <v>0.54932221</v>
      </c>
      <c r="T252" s="35">
        <f>HLOOKUP(T241,T256:W268,12)</f>
        <v>0.54932221</v>
      </c>
      <c r="U252" s="60" t="s">
        <v>180</v>
      </c>
      <c r="V252" s="61">
        <f>(1+EXP(-(V248*S240+V249*S240^2+V250*S240^3)))^V251</f>
        <v>0.008551913302441932</v>
      </c>
      <c r="W252" s="62">
        <f>(1+EXP(-(W248*T240+W249*T240^2+W250*T240^3)))^W251</f>
        <v>0.84728985739903</v>
      </c>
    </row>
    <row r="253" spans="1:20" ht="13.5" hidden="1" thickBot="1">
      <c r="A253" s="21">
        <f t="shared" si="41"/>
        <v>3.456275917900313</v>
      </c>
      <c r="B253">
        <f t="shared" si="40"/>
        <v>0.20320895482742135</v>
      </c>
      <c r="F253"/>
      <c r="G253"/>
      <c r="H253"/>
      <c r="I253" s="90" t="s">
        <v>62</v>
      </c>
      <c r="J253" s="43">
        <v>2</v>
      </c>
      <c r="K253" s="43">
        <v>3</v>
      </c>
      <c r="L253" s="43">
        <v>4</v>
      </c>
      <c r="M253" s="43">
        <v>5</v>
      </c>
      <c r="N253" s="40">
        <v>6</v>
      </c>
      <c r="O253" s="40">
        <v>7</v>
      </c>
      <c r="P253" s="40">
        <v>8</v>
      </c>
      <c r="Q253" s="41">
        <v>9</v>
      </c>
      <c r="R253" s="104" t="s">
        <v>181</v>
      </c>
      <c r="S253" s="53">
        <f>HLOOKUP(S241,T256:W268,13)</f>
        <v>-1.0076516</v>
      </c>
      <c r="T253" s="37">
        <f>HLOOKUP(T241,T256:W268,13)</f>
        <v>-1.0076516</v>
      </c>
    </row>
    <row r="254" spans="1:22" ht="12.75" hidden="1">
      <c r="A254" s="21">
        <f t="shared" si="41"/>
        <v>3.5202810274910594</v>
      </c>
      <c r="B254">
        <f t="shared" si="40"/>
        <v>0.1921112439075736</v>
      </c>
      <c r="F254"/>
      <c r="G254"/>
      <c r="H254"/>
      <c r="I254" s="42" t="s">
        <v>110</v>
      </c>
      <c r="J254" s="43">
        <v>0.122639</v>
      </c>
      <c r="K254" s="43">
        <v>0.17093583</v>
      </c>
      <c r="L254" s="43">
        <v>0.20527676</v>
      </c>
      <c r="M254" s="43">
        <v>0.23087629</v>
      </c>
      <c r="N254" s="43">
        <v>0.25087349</v>
      </c>
      <c r="O254" s="43">
        <v>0.26701314</v>
      </c>
      <c r="P254" s="43">
        <v>0.28035886</v>
      </c>
      <c r="Q254" s="44">
        <v>0.29158511</v>
      </c>
      <c r="R254"/>
      <c r="S254" s="39" t="s">
        <v>182</v>
      </c>
      <c r="T254" s="40"/>
      <c r="U254" s="40"/>
      <c r="V254" s="41"/>
    </row>
    <row r="255" spans="1:22" ht="12.75" hidden="1">
      <c r="A255" s="21">
        <f t="shared" si="41"/>
        <v>3.584286137081806</v>
      </c>
      <c r="B255">
        <f t="shared" si="40"/>
        <v>0.18144436723473714</v>
      </c>
      <c r="H255"/>
      <c r="I255" s="42" t="s">
        <v>112</v>
      </c>
      <c r="J255" s="43">
        <v>-1.183888</v>
      </c>
      <c r="K255" s="43">
        <v>-0.36372227</v>
      </c>
      <c r="L255" s="43">
        <v>-0.3756623</v>
      </c>
      <c r="M255" s="43">
        <v>-0.32948211</v>
      </c>
      <c r="N255" s="43">
        <v>-0.30146272</v>
      </c>
      <c r="O255" s="43">
        <v>-0.26555197</v>
      </c>
      <c r="P255" s="43">
        <v>-0.21322137</v>
      </c>
      <c r="Q255" s="44">
        <v>-0.14267075</v>
      </c>
      <c r="R255"/>
      <c r="S255" s="42" t="s">
        <v>183</v>
      </c>
      <c r="T255" s="43" t="s">
        <v>184</v>
      </c>
      <c r="U255" s="43" t="s">
        <v>185</v>
      </c>
      <c r="V255" s="44" t="s">
        <v>186</v>
      </c>
    </row>
    <row r="256" spans="1:22" ht="12.75" hidden="1">
      <c r="A256" s="21">
        <f t="shared" si="41"/>
        <v>3.6482912466725526</v>
      </c>
      <c r="B256">
        <f t="shared" si="40"/>
        <v>0.17121620556705291</v>
      </c>
      <c r="H256"/>
      <c r="I256" s="42" t="s">
        <v>114</v>
      </c>
      <c r="J256" s="43">
        <v>-0.30512797</v>
      </c>
      <c r="K256" s="43">
        <v>-0.28537457</v>
      </c>
      <c r="L256" s="43">
        <v>-0.33810835</v>
      </c>
      <c r="M256" s="43">
        <v>-0.36170947</v>
      </c>
      <c r="N256" s="43">
        <v>-0.3787192</v>
      </c>
      <c r="O256" s="43">
        <v>-0.38705351</v>
      </c>
      <c r="P256" s="43">
        <v>-0.38608727</v>
      </c>
      <c r="Q256" s="44">
        <v>-0.37596357</v>
      </c>
      <c r="R256"/>
      <c r="S256" s="42" t="s">
        <v>187</v>
      </c>
      <c r="T256" s="43">
        <v>1</v>
      </c>
      <c r="U256" s="43">
        <v>2</v>
      </c>
      <c r="V256" s="44">
        <v>3</v>
      </c>
    </row>
    <row r="257" spans="1:22" ht="12.75" hidden="1">
      <c r="A257" s="21">
        <f t="shared" si="41"/>
        <v>3.712296356263299</v>
      </c>
      <c r="B257">
        <f t="shared" si="40"/>
        <v>0.1614301846792968</v>
      </c>
      <c r="H257"/>
      <c r="I257" s="42" t="s">
        <v>116</v>
      </c>
      <c r="J257" s="43">
        <v>1.025662</v>
      </c>
      <c r="K257" s="43">
        <v>0.34851212</v>
      </c>
      <c r="L257" s="43">
        <v>0.36738495</v>
      </c>
      <c r="M257" s="43">
        <v>0.35945667</v>
      </c>
      <c r="N257" s="43">
        <v>0.3687124</v>
      </c>
      <c r="O257" s="43">
        <v>0.38401727</v>
      </c>
      <c r="P257" s="43">
        <v>0.40265771</v>
      </c>
      <c r="Q257" s="44">
        <v>0.41758212</v>
      </c>
      <c r="R257"/>
      <c r="S257" s="42" t="s">
        <v>110</v>
      </c>
      <c r="T257" s="43">
        <v>0.82705588</v>
      </c>
      <c r="U257" s="43">
        <v>0.9159042</v>
      </c>
      <c r="V257" s="44"/>
    </row>
    <row r="258" spans="1:22" ht="12.75" hidden="1">
      <c r="A258" s="21">
        <f t="shared" si="41"/>
        <v>3.7763014658540457</v>
      </c>
      <c r="B258">
        <f t="shared" si="40"/>
        <v>0.15208592801719686</v>
      </c>
      <c r="H258"/>
      <c r="I258" s="42" t="s">
        <v>119</v>
      </c>
      <c r="J258" s="43">
        <v>0.30466959</v>
      </c>
      <c r="K258" s="43">
        <v>0.16073371</v>
      </c>
      <c r="L258" s="43">
        <v>0.20373584</v>
      </c>
      <c r="M258" s="43">
        <v>0.21196252</v>
      </c>
      <c r="N258" s="43">
        <v>0.22058761</v>
      </c>
      <c r="O258" s="43">
        <v>0.22384309</v>
      </c>
      <c r="P258" s="43">
        <v>0.22000682</v>
      </c>
      <c r="Q258" s="44">
        <v>0.2072291</v>
      </c>
      <c r="R258"/>
      <c r="S258" s="42" t="s">
        <v>112</v>
      </c>
      <c r="T258" s="43">
        <v>0.47348658</v>
      </c>
      <c r="U258" s="43">
        <v>0.46749901</v>
      </c>
      <c r="V258" s="44"/>
    </row>
    <row r="259" spans="1:22" ht="12.75" hidden="1">
      <c r="A259" s="21">
        <f t="shared" si="41"/>
        <v>3.8403065754447923</v>
      </c>
      <c r="B259">
        <f t="shared" si="40"/>
        <v>0.14317984580798296</v>
      </c>
      <c r="H259"/>
      <c r="I259" s="42" t="s">
        <v>145</v>
      </c>
      <c r="J259" s="43">
        <v>-0.32067478</v>
      </c>
      <c r="K259" s="43">
        <v>0.054071371</v>
      </c>
      <c r="L259" s="43">
        <v>0.018923968</v>
      </c>
      <c r="M259" s="43">
        <v>0.019458266</v>
      </c>
      <c r="N259" s="43">
        <v>0.016283799</v>
      </c>
      <c r="O259" s="43">
        <v>0.015667728</v>
      </c>
      <c r="P259" s="43">
        <v>0.018042944</v>
      </c>
      <c r="Q259" s="44">
        <v>0.023635477</v>
      </c>
      <c r="R259"/>
      <c r="S259" s="42" t="s">
        <v>114</v>
      </c>
      <c r="T259" s="43">
        <v>-1.5959026</v>
      </c>
      <c r="U259" s="43">
        <v>-1.5978413</v>
      </c>
      <c r="V259" s="44"/>
    </row>
    <row r="260" spans="1:22" ht="12.75" hidden="1">
      <c r="A260" s="21">
        <f t="shared" si="41"/>
        <v>3.904311685035539</v>
      </c>
      <c r="B260">
        <f t="shared" si="40"/>
        <v>0.1347056633192433</v>
      </c>
      <c r="H260"/>
      <c r="I260" s="42" t="s">
        <v>123</v>
      </c>
      <c r="J260" s="43">
        <v>-0.1511292</v>
      </c>
      <c r="K260" s="43">
        <v>-0.025966434</v>
      </c>
      <c r="L260" s="43">
        <v>-0.049770351</v>
      </c>
      <c r="M260" s="43">
        <v>-0.053579348</v>
      </c>
      <c r="N260" s="43">
        <v>-0.060450757</v>
      </c>
      <c r="O260" s="43">
        <v>-0.066696572</v>
      </c>
      <c r="P260" s="43">
        <v>-0.071663981</v>
      </c>
      <c r="Q260" s="44">
        <v>-0.073405376</v>
      </c>
      <c r="R260"/>
      <c r="S260" s="42" t="s">
        <v>116</v>
      </c>
      <c r="T260" s="43">
        <v>-0.35885104</v>
      </c>
      <c r="U260" s="43">
        <v>-0.21867454</v>
      </c>
      <c r="V260" s="44"/>
    </row>
    <row r="261" spans="1:22" ht="12.75" hidden="1">
      <c r="A261" s="21">
        <f t="shared" si="41"/>
        <v>3.9683167946262854</v>
      </c>
      <c r="B261">
        <f t="shared" si="40"/>
        <v>0.12665489159739332</v>
      </c>
      <c r="H261"/>
      <c r="I261" s="42" t="s">
        <v>125</v>
      </c>
      <c r="J261" s="43">
        <v>0.061852348</v>
      </c>
      <c r="K261" s="43">
        <v>0.002995818</v>
      </c>
      <c r="L261" s="43">
        <v>0.011064939</v>
      </c>
      <c r="M261" s="43">
        <v>0.015386764</v>
      </c>
      <c r="N261" s="43">
        <v>0.020005908</v>
      </c>
      <c r="O261" s="43">
        <v>0.024962675</v>
      </c>
      <c r="P261" s="43">
        <v>0.030244939</v>
      </c>
      <c r="Q261" s="44">
        <v>0.03496479</v>
      </c>
      <c r="R261"/>
      <c r="S261" s="42" t="s">
        <v>119</v>
      </c>
      <c r="T261" s="43">
        <v>-0.3762358</v>
      </c>
      <c r="U261" s="43">
        <v>-0.16711347</v>
      </c>
      <c r="V261" s="44"/>
    </row>
    <row r="262" spans="1:22" ht="12.75" hidden="1">
      <c r="A262" s="21">
        <f t="shared" si="41"/>
        <v>4.0323219042170315</v>
      </c>
      <c r="B262">
        <f t="shared" si="40"/>
        <v>0.11901724442320168</v>
      </c>
      <c r="H262"/>
      <c r="I262" s="42" t="s">
        <v>146</v>
      </c>
      <c r="J262" s="43">
        <v>0.036997109</v>
      </c>
      <c r="K262" s="43">
        <v>-0.0050019868</v>
      </c>
      <c r="L262" s="43">
        <v>0.0024343744</v>
      </c>
      <c r="M262" s="43">
        <v>0.0042734939</v>
      </c>
      <c r="N262" s="43">
        <v>0.0074082789</v>
      </c>
      <c r="O262" s="43">
        <v>0.010898192</v>
      </c>
      <c r="P262" s="43">
        <v>0.014749941</v>
      </c>
      <c r="Q262" s="44">
        <v>0.018251034</v>
      </c>
      <c r="R262"/>
      <c r="S262" s="42" t="s">
        <v>145</v>
      </c>
      <c r="T262" s="43">
        <v>-0.0059178009</v>
      </c>
      <c r="U262" s="43">
        <v>-0.055872009</v>
      </c>
      <c r="V262" s="44"/>
    </row>
    <row r="263" spans="1:22" ht="12.75" hidden="1">
      <c r="A263" s="21">
        <f t="shared" si="41"/>
        <v>4.096327013807778</v>
      </c>
      <c r="B263">
        <f t="shared" si="40"/>
        <v>0.1117810054445652</v>
      </c>
      <c r="H263"/>
      <c r="I263" s="42" t="s">
        <v>147</v>
      </c>
      <c r="J263" s="43">
        <v>-0.0023723692</v>
      </c>
      <c r="K263" s="43">
        <v>0.0016331608</v>
      </c>
      <c r="L263" s="43">
        <v>0.00085720372</v>
      </c>
      <c r="M263" s="43">
        <v>0.00075015011</v>
      </c>
      <c r="N263" s="43">
        <v>0.00039892655</v>
      </c>
      <c r="O263" s="43">
        <v>-4.2375686E-05</v>
      </c>
      <c r="P263" s="43">
        <v>-0.00060041754</v>
      </c>
      <c r="Q263" s="44">
        <v>-0.0011924843</v>
      </c>
      <c r="R263"/>
      <c r="S263" s="42" t="s">
        <v>123</v>
      </c>
      <c r="T263" s="43">
        <v>0.052553183</v>
      </c>
      <c r="U263" s="43">
        <v>0.078057826</v>
      </c>
      <c r="V263" s="44"/>
    </row>
    <row r="264" spans="1:22" ht="13.5" hidden="1" thickBot="1">
      <c r="A264" s="21">
        <f t="shared" si="41"/>
        <v>4.160332123398524</v>
      </c>
      <c r="B264">
        <f aca="true" t="shared" si="42" ref="B264:B299">(EXP(((LN(A264)-$T$13)^2)/(-2*($T$14^2))))/(A264*$T$14*SQRT(2*PI()))</f>
        <v>0.10493334952757355</v>
      </c>
      <c r="I264" s="45" t="s">
        <v>179</v>
      </c>
      <c r="J264" s="46">
        <v>-0.0035624416</v>
      </c>
      <c r="K264" s="46">
        <v>0.0014215249</v>
      </c>
      <c r="L264" s="46">
        <v>0.00050349027</v>
      </c>
      <c r="M264" s="46">
        <v>0.00019427452</v>
      </c>
      <c r="N264" s="46">
        <v>-0.00027967341</v>
      </c>
      <c r="O264" s="46">
        <v>-0.00083411655</v>
      </c>
      <c r="P264" s="46">
        <v>-0.0014920275</v>
      </c>
      <c r="Q264" s="47">
        <v>-0.0021651986</v>
      </c>
      <c r="S264" s="42" t="s">
        <v>125</v>
      </c>
      <c r="T264" s="43">
        <v>0.26488682</v>
      </c>
      <c r="U264" s="43">
        <v>0.28495322</v>
      </c>
      <c r="V264" s="44"/>
    </row>
    <row r="265" spans="1:22" ht="12.75" hidden="1">
      <c r="A265" s="21">
        <f t="shared" si="41"/>
        <v>4.22433723298927</v>
      </c>
      <c r="B265">
        <f t="shared" si="42"/>
        <v>0.0984606223401041</v>
      </c>
      <c r="S265" s="42" t="s">
        <v>146</v>
      </c>
      <c r="T265" s="43">
        <v>-0.075413666</v>
      </c>
      <c r="U265" s="43">
        <v>-0.073167856</v>
      </c>
      <c r="V265" s="44"/>
    </row>
    <row r="266" spans="1:22" ht="12.75" hidden="1">
      <c r="A266" s="21">
        <f t="shared" si="41"/>
        <v>4.288342342580016</v>
      </c>
      <c r="B266">
        <f t="shared" si="42"/>
        <v>0.0923485820757483</v>
      </c>
      <c r="S266" s="42" t="s">
        <v>147</v>
      </c>
      <c r="T266" s="43">
        <v>-2.4186812</v>
      </c>
      <c r="U266" s="43">
        <v>-2.4074152</v>
      </c>
      <c r="V266" s="44"/>
    </row>
    <row r="267" spans="1:22" ht="12.75" hidden="1">
      <c r="A267" s="21">
        <f t="shared" si="41"/>
        <v>4.352347452170762</v>
      </c>
      <c r="B267">
        <f t="shared" si="42"/>
        <v>0.08658260706246995</v>
      </c>
      <c r="S267" s="48" t="s">
        <v>179</v>
      </c>
      <c r="T267" s="43">
        <v>0.54932221</v>
      </c>
      <c r="U267" s="43">
        <v>0.54932221</v>
      </c>
      <c r="V267" s="44"/>
    </row>
    <row r="268" spans="1:22" ht="13.5" hidden="1" thickBot="1">
      <c r="A268" s="21">
        <f t="shared" si="41"/>
        <v>4.416352561761508</v>
      </c>
      <c r="B268">
        <f t="shared" si="42"/>
        <v>0.0811478727981641</v>
      </c>
      <c r="S268" s="49" t="s">
        <v>188</v>
      </c>
      <c r="T268" s="50">
        <v>-1.0076516</v>
      </c>
      <c r="U268" s="50">
        <v>-1.0076516</v>
      </c>
      <c r="V268" s="51"/>
    </row>
    <row r="269" spans="1:2" ht="12.75" hidden="1">
      <c r="A269" s="21">
        <f t="shared" si="41"/>
        <v>4.480357671352254</v>
      </c>
      <c r="B269">
        <f t="shared" si="42"/>
        <v>0.07602950172858436</v>
      </c>
    </row>
    <row r="270" spans="1:2" ht="12.75" hidden="1">
      <c r="A270" s="21">
        <f t="shared" si="41"/>
        <v>4.5443627809430005</v>
      </c>
      <c r="B270">
        <f t="shared" si="42"/>
        <v>0.07121268884312987</v>
      </c>
    </row>
    <row r="271" spans="1:2" ht="12.75" hidden="1">
      <c r="A271" s="21">
        <f t="shared" si="41"/>
        <v>4.608367890533747</v>
      </c>
      <c r="B271">
        <f t="shared" si="42"/>
        <v>0.06668280591932929</v>
      </c>
    </row>
    <row r="272" spans="1:2" ht="12.75" hidden="1">
      <c r="A272" s="21">
        <f t="shared" si="41"/>
        <v>4.672373000124493</v>
      </c>
      <c r="B272">
        <f t="shared" si="42"/>
        <v>0.062425487004010315</v>
      </c>
    </row>
    <row r="273" spans="1:2" ht="12.75" hidden="1">
      <c r="A273" s="21">
        <f t="shared" si="41"/>
        <v>4.736378109715239</v>
      </c>
      <c r="B273">
        <f t="shared" si="42"/>
        <v>0.05842669748285117</v>
      </c>
    </row>
    <row r="274" spans="1:9" ht="12.75" hidden="1">
      <c r="A274" s="21">
        <f aca="true" t="shared" si="43" ref="A274:A299">A273+$B$197</f>
        <v>4.800383219305985</v>
      </c>
      <c r="B274">
        <f t="shared" si="42"/>
        <v>0.054672788863661524</v>
      </c>
      <c r="I274" s="4" t="s">
        <v>189</v>
      </c>
    </row>
    <row r="275" spans="1:15" ht="13.5" hidden="1" thickBot="1">
      <c r="A275" s="21">
        <f t="shared" si="43"/>
        <v>4.864388328896731</v>
      </c>
      <c r="B275">
        <f t="shared" si="42"/>
        <v>0.05115054118461152</v>
      </c>
      <c r="I275" s="21"/>
      <c r="J275" t="s">
        <v>190</v>
      </c>
      <c r="K275" t="s">
        <v>190</v>
      </c>
      <c r="L275"/>
      <c r="M275"/>
      <c r="N275"/>
      <c r="O275"/>
    </row>
    <row r="276" spans="1:15" ht="13.5" hidden="1" thickTop="1">
      <c r="A276" s="21">
        <f t="shared" si="43"/>
        <v>4.928393438487477</v>
      </c>
      <c r="B276">
        <f t="shared" si="42"/>
        <v>0.047847194758149685</v>
      </c>
      <c r="I276" s="21"/>
      <c r="J276" t="s">
        <v>191</v>
      </c>
      <c r="K276" t="s">
        <v>192</v>
      </c>
      <c r="L276"/>
      <c r="M276" t="s">
        <v>193</v>
      </c>
      <c r="N276" s="27">
        <f>T15</f>
        <v>2.479126709468905</v>
      </c>
      <c r="O276" t="s">
        <v>194</v>
      </c>
    </row>
    <row r="277" spans="1:15" ht="12.75" hidden="1">
      <c r="A277" s="21">
        <f t="shared" si="43"/>
        <v>4.992398548078223</v>
      </c>
      <c r="B277">
        <f t="shared" si="42"/>
        <v>0.044750472775277536</v>
      </c>
      <c r="I277" s="21"/>
      <c r="J277"/>
      <c r="K277"/>
      <c r="L277"/>
      <c r="M277" t="s">
        <v>195</v>
      </c>
      <c r="N277" s="26">
        <f>T16</f>
        <v>1.5024082129146348</v>
      </c>
      <c r="O277" t="s">
        <v>196</v>
      </c>
    </row>
    <row r="278" spans="1:15" ht="13.5" hidden="1" thickBot="1">
      <c r="A278" s="21">
        <f t="shared" si="43"/>
        <v>5.0564036576689695</v>
      </c>
      <c r="B278">
        <f t="shared" si="42"/>
        <v>0.04184859612342836</v>
      </c>
      <c r="I278" s="21" t="s">
        <v>67</v>
      </c>
      <c r="J278">
        <v>-0.85033767</v>
      </c>
      <c r="K278">
        <v>0.76766658</v>
      </c>
      <c r="L278"/>
      <c r="M278" t="s">
        <v>197</v>
      </c>
      <c r="N278" s="28">
        <f>J211</f>
        <v>15</v>
      </c>
      <c r="O278" t="s">
        <v>198</v>
      </c>
    </row>
    <row r="279" spans="1:15" ht="13.5" hidden="1" thickTop="1">
      <c r="A279" s="21">
        <f t="shared" si="43"/>
        <v>5.120408767259716</v>
      </c>
      <c r="B279">
        <f t="shared" si="42"/>
        <v>0.0391302916143039</v>
      </c>
      <c r="I279" s="21" t="s">
        <v>70</v>
      </c>
      <c r="J279">
        <v>-0.5258052</v>
      </c>
      <c r="K279">
        <v>3.8716869</v>
      </c>
      <c r="L279"/>
      <c r="M279"/>
      <c r="N279"/>
      <c r="O279"/>
    </row>
    <row r="280" spans="1:15" ht="12.75" hidden="1">
      <c r="A280" s="21">
        <f t="shared" si="43"/>
        <v>5.184413876850462</v>
      </c>
      <c r="B280">
        <f t="shared" si="42"/>
        <v>0.036584794675240576</v>
      </c>
      <c r="I280" s="21" t="s">
        <v>73</v>
      </c>
      <c r="J280">
        <v>0.92416176</v>
      </c>
      <c r="K280">
        <v>0.80598919</v>
      </c>
      <c r="L280"/>
      <c r="M280"/>
      <c r="N280"/>
      <c r="O280"/>
    </row>
    <row r="281" spans="1:15" ht="12.75" hidden="1">
      <c r="A281" s="21">
        <f t="shared" si="43"/>
        <v>5.248418986441208</v>
      </c>
      <c r="B281">
        <f t="shared" si="42"/>
        <v>0.03420184742840285</v>
      </c>
      <c r="I281" s="21" t="s">
        <v>199</v>
      </c>
      <c r="J281">
        <v>3.3298209</v>
      </c>
      <c r="K281">
        <v>6.0321019</v>
      </c>
      <c r="L281"/>
      <c r="M281" t="s">
        <v>200</v>
      </c>
      <c r="N281">
        <f>EXP(LN(N276)+0.5*LN(N277)^2+J294*LN(N277)/SQRT(N278-1))</f>
        <v>2.2569901484567523</v>
      </c>
      <c r="O281"/>
    </row>
    <row r="282" spans="1:15" ht="12.75" hidden="1">
      <c r="A282" s="21">
        <f t="shared" si="43"/>
        <v>5.312424096031954</v>
      </c>
      <c r="B282">
        <f t="shared" si="42"/>
        <v>0.031971692965602865</v>
      </c>
      <c r="I282" s="21" t="s">
        <v>201</v>
      </c>
      <c r="J282">
        <v>0.94348568</v>
      </c>
      <c r="K282">
        <v>0.89998154</v>
      </c>
      <c r="L282"/>
      <c r="M282" t="s">
        <v>202</v>
      </c>
      <c r="N282">
        <f>EXP(LN(N276)+0.5*LN(N277)^2+K294*LN(N277)/SQRT(N278-1))</f>
        <v>3.3266595958774277</v>
      </c>
      <c r="O282"/>
    </row>
    <row r="283" spans="1:15" ht="12.75" hidden="1">
      <c r="A283" s="21">
        <f t="shared" si="43"/>
        <v>5.3764292056227</v>
      </c>
      <c r="B283">
        <f t="shared" si="42"/>
        <v>0.029885066521998974</v>
      </c>
      <c r="I283" s="21" t="s">
        <v>203</v>
      </c>
      <c r="J283">
        <v>1.3213281</v>
      </c>
      <c r="K283">
        <v>2.012669</v>
      </c>
      <c r="L283"/>
      <c r="M283"/>
      <c r="N283"/>
      <c r="O283"/>
    </row>
    <row r="284" spans="1:15" ht="12.75" hidden="1">
      <c r="A284" s="21">
        <f t="shared" si="43"/>
        <v>5.440434315213446</v>
      </c>
      <c r="B284">
        <f t="shared" si="42"/>
        <v>0.027933184158479576</v>
      </c>
      <c r="I284" s="21" t="s">
        <v>64</v>
      </c>
      <c r="J284">
        <v>0.8155562</v>
      </c>
      <c r="K284">
        <v>0.21978875</v>
      </c>
      <c r="L284"/>
      <c r="M284"/>
      <c r="N284"/>
      <c r="O284"/>
    </row>
    <row r="285" spans="1:15" ht="12.75" hidden="1">
      <c r="A285" s="21">
        <f t="shared" si="43"/>
        <v>5.504439424804192</v>
      </c>
      <c r="B285">
        <f t="shared" si="42"/>
        <v>0.026107729479316805</v>
      </c>
      <c r="I285" s="21" t="s">
        <v>204</v>
      </c>
      <c r="J285">
        <v>-1.018148</v>
      </c>
      <c r="K285">
        <v>0.41575588</v>
      </c>
      <c r="L285"/>
      <c r="M285" t="s">
        <v>205</v>
      </c>
      <c r="N285">
        <v>52</v>
      </c>
      <c r="O285"/>
    </row>
    <row r="286" spans="1:15" ht="12.75" hidden="1">
      <c r="A286" s="21">
        <f t="shared" si="43"/>
        <v>5.5684445343949385</v>
      </c>
      <c r="B286">
        <f t="shared" si="42"/>
        <v>0.024400838837818472</v>
      </c>
      <c r="I286" s="21" t="s">
        <v>127</v>
      </c>
      <c r="J286">
        <v>0.25248895</v>
      </c>
      <c r="K286">
        <v>0.29258276</v>
      </c>
      <c r="L286"/>
      <c r="M286"/>
      <c r="N286">
        <v>114</v>
      </c>
      <c r="O286"/>
    </row>
    <row r="287" spans="1:15" ht="12.75" hidden="1">
      <c r="A287" s="21">
        <f t="shared" si="43"/>
        <v>5.632449643985685</v>
      </c>
      <c r="B287">
        <f t="shared" si="42"/>
        <v>0.02280508541738195</v>
      </c>
      <c r="I287" s="21"/>
      <c r="J287"/>
      <c r="K287"/>
      <c r="L287"/>
      <c r="M287"/>
      <c r="N287">
        <v>205</v>
      </c>
      <c r="O287"/>
    </row>
    <row r="288" spans="1:15" ht="12.75" hidden="1">
      <c r="A288" s="21">
        <f t="shared" si="43"/>
        <v>5.696454753576431</v>
      </c>
      <c r="B288">
        <f t="shared" si="42"/>
        <v>0.021313462517757998</v>
      </c>
      <c r="I288" s="21" t="s">
        <v>130</v>
      </c>
      <c r="J288" s="23">
        <f>J278/(N278-2)^J280+J279</f>
        <v>-0.6052613595154868</v>
      </c>
      <c r="K288" s="23">
        <f>(LN(N277)*(K286+1/(N278-2)^K280))</f>
        <v>0.1706055869835643</v>
      </c>
      <c r="L288"/>
      <c r="M288"/>
      <c r="N288">
        <v>365</v>
      </c>
      <c r="O288"/>
    </row>
    <row r="289" spans="1:15" ht="12.75" hidden="1">
      <c r="A289" s="21">
        <f t="shared" si="43"/>
        <v>5.760459863167177</v>
      </c>
      <c r="B289">
        <f t="shared" si="42"/>
        <v>0.019919366325716767</v>
      </c>
      <c r="I289" s="21" t="s">
        <v>131</v>
      </c>
      <c r="J289" s="23">
        <f>J281/(N278-2)^J283+J282</f>
        <v>1.0558261461613183</v>
      </c>
      <c r="K289" s="23">
        <f>(K279+K281/(N278-2)^K280)</f>
        <v>4.634893942564025</v>
      </c>
      <c r="L289"/>
      <c r="M289"/>
      <c r="N289">
        <v>780</v>
      </c>
      <c r="O289"/>
    </row>
    <row r="290" spans="1:15" ht="12.75" hidden="1">
      <c r="A290" s="21">
        <f t="shared" si="43"/>
        <v>5.824464972757923</v>
      </c>
      <c r="B290">
        <f t="shared" si="42"/>
        <v>0.018616578404961403</v>
      </c>
      <c r="I290" s="21" t="s">
        <v>134</v>
      </c>
      <c r="J290" s="23">
        <f>J284/(N278-2)^J286+J285</f>
        <v>-0.5913764047430357</v>
      </c>
      <c r="K290" s="23">
        <f>(K288*(1-K282*EXP(-K283*K288)))</f>
        <v>0.06168699066879031</v>
      </c>
      <c r="L290"/>
      <c r="M290"/>
      <c r="N290"/>
      <c r="O290"/>
    </row>
    <row r="291" spans="1:15" ht="12.75" hidden="1">
      <c r="A291" s="21">
        <f t="shared" si="43"/>
        <v>5.888470082348669</v>
      </c>
      <c r="B291">
        <f t="shared" si="42"/>
        <v>0.017399248101407347</v>
      </c>
      <c r="I291" s="21" t="s">
        <v>137</v>
      </c>
      <c r="J291" s="23">
        <f>-0.6226/(N278-2)^0.2426+1.147</f>
        <v>0.8128307691374416</v>
      </c>
      <c r="K291" s="23">
        <f>(1+K284*EXP(-K285*K288))</f>
        <v>1.2047391196864738</v>
      </c>
      <c r="L291"/>
      <c r="M291" s="11" t="s">
        <v>197</v>
      </c>
      <c r="N291">
        <v>5</v>
      </c>
      <c r="O291"/>
    </row>
    <row r="292" spans="1:15" ht="12.75" hidden="1">
      <c r="A292" s="21">
        <f t="shared" si="43"/>
        <v>5.952475191939415</v>
      </c>
      <c r="B292">
        <f t="shared" si="42"/>
        <v>0.016261875026228376</v>
      </c>
      <c r="I292" s="21" t="s">
        <v>139</v>
      </c>
      <c r="J292" s="23"/>
      <c r="K292" s="23">
        <f>(K289*K290/K291)</f>
        <v>0.2373232965658049</v>
      </c>
      <c r="L292"/>
      <c r="M292" s="11" t="s">
        <v>206</v>
      </c>
      <c r="N292">
        <v>203.1468</v>
      </c>
      <c r="O292"/>
    </row>
    <row r="293" spans="1:15" ht="12.75" hidden="1">
      <c r="A293" s="21">
        <f t="shared" si="43"/>
        <v>6.016480301530161</v>
      </c>
      <c r="B293">
        <f t="shared" si="42"/>
        <v>0.015199291749817434</v>
      </c>
      <c r="I293" s="21"/>
      <c r="J293" s="23"/>
      <c r="K293" s="23"/>
      <c r="L293"/>
      <c r="M293" s="11" t="s">
        <v>207</v>
      </c>
      <c r="N293">
        <v>2.8352</v>
      </c>
      <c r="O293"/>
    </row>
    <row r="294" spans="1:15" ht="12.75" hidden="1">
      <c r="A294" s="21">
        <f t="shared" si="43"/>
        <v>6.0804854111209075</v>
      </c>
      <c r="B294">
        <f t="shared" si="42"/>
        <v>0.014206646814511194</v>
      </c>
      <c r="I294" s="21" t="s">
        <v>208</v>
      </c>
      <c r="J294" s="23">
        <f>-0.74295/(N278-2)-1.64765+LN(N277)*(J290+J289*EXP(J288*LN(N277)^J291))</f>
        <v>-1.6244203599231746</v>
      </c>
      <c r="K294" s="23">
        <f>1.645+K278/(N278-2)+K292</f>
        <v>1.9413745719504203</v>
      </c>
      <c r="L294"/>
      <c r="M294" t="s">
        <v>209</v>
      </c>
      <c r="N294"/>
      <c r="O294"/>
    </row>
    <row r="295" spans="1:15" ht="12.75" hidden="1">
      <c r="A295" s="21">
        <f t="shared" si="43"/>
        <v>6.144490520711654</v>
      </c>
      <c r="B295">
        <f t="shared" si="42"/>
        <v>0.013279388152131137</v>
      </c>
      <c r="I295" s="21"/>
      <c r="J295"/>
      <c r="K295"/>
      <c r="L295"/>
      <c r="M295" t="s">
        <v>210</v>
      </c>
      <c r="N295"/>
      <c r="O295"/>
    </row>
    <row r="296" spans="1:2" ht="12.75" hidden="1">
      <c r="A296" s="21">
        <f t="shared" si="43"/>
        <v>6.2084956303024</v>
      </c>
      <c r="B296">
        <f t="shared" si="42"/>
        <v>0.012413246973684072</v>
      </c>
    </row>
    <row r="297" spans="1:2" ht="12.75" hidden="1">
      <c r="A297" s="21">
        <f t="shared" si="43"/>
        <v>6.272500739893146</v>
      </c>
      <c r="B297">
        <f t="shared" si="42"/>
        <v>0.011604222182572515</v>
      </c>
    </row>
    <row r="298" spans="1:2" ht="12.75" hidden="1">
      <c r="A298" s="21">
        <f t="shared" si="43"/>
        <v>6.336505849483892</v>
      </c>
      <c r="B298">
        <f t="shared" si="42"/>
        <v>0.01084856534905627</v>
      </c>
    </row>
    <row r="299" spans="1:2" ht="12.75" hidden="1">
      <c r="A299" s="21">
        <f t="shared" si="43"/>
        <v>6.400510959074638</v>
      </c>
      <c r="B299">
        <f t="shared" si="42"/>
        <v>0.010142766272183879</v>
      </c>
    </row>
    <row r="300" ht="12.75" hidden="1"/>
    <row r="301" ht="12.75" hidden="1"/>
    <row r="302" ht="12.75" hidden="1"/>
    <row r="303" ht="12.75" hidden="1"/>
    <row r="304" ht="12.75" hidden="1"/>
    <row r="305" ht="12.75" hidden="1"/>
    <row r="306" ht="12.75" hidden="1"/>
    <row r="307" ht="12.75" hidden="1"/>
    <row r="308" ht="12.75" hidden="1"/>
    <row r="309" ht="12.75" hidden="1"/>
    <row r="310" ht="12.75" hidden="1">
      <c r="A310" s="21" t="s">
        <v>211</v>
      </c>
    </row>
    <row r="311" spans="2:50" ht="12.75" hidden="1">
      <c r="B311">
        <v>2</v>
      </c>
      <c r="C311" s="4">
        <v>3</v>
      </c>
      <c r="D311" s="4">
        <v>4</v>
      </c>
      <c r="E311" s="4">
        <v>5</v>
      </c>
      <c r="F311" s="4">
        <v>6</v>
      </c>
      <c r="G311" s="4">
        <v>7</v>
      </c>
      <c r="H311" s="4">
        <v>8</v>
      </c>
      <c r="I311" s="4">
        <v>9</v>
      </c>
      <c r="J311" s="4">
        <v>10</v>
      </c>
      <c r="K311" s="4">
        <v>11</v>
      </c>
      <c r="L311" s="4">
        <v>12</v>
      </c>
      <c r="M311" s="4">
        <v>13</v>
      </c>
      <c r="N311" s="4">
        <v>14</v>
      </c>
      <c r="O311" s="4">
        <v>15</v>
      </c>
      <c r="P311" s="4">
        <v>16</v>
      </c>
      <c r="Q311" s="4">
        <v>17</v>
      </c>
      <c r="R311" s="4">
        <v>18</v>
      </c>
      <c r="S311" s="11">
        <v>19</v>
      </c>
      <c r="T311">
        <v>20</v>
      </c>
      <c r="U311">
        <v>21</v>
      </c>
      <c r="V311">
        <v>22</v>
      </c>
      <c r="W311">
        <v>23</v>
      </c>
      <c r="X311">
        <v>24</v>
      </c>
      <c r="Y311">
        <v>25</v>
      </c>
      <c r="Z311">
        <v>26</v>
      </c>
      <c r="AA311">
        <v>27</v>
      </c>
      <c r="AB311">
        <v>28</v>
      </c>
      <c r="AC311">
        <v>29</v>
      </c>
      <c r="AD311">
        <v>30</v>
      </c>
      <c r="AE311">
        <v>31</v>
      </c>
      <c r="AF311">
        <v>32</v>
      </c>
      <c r="AG311">
        <v>33</v>
      </c>
      <c r="AH311">
        <v>34</v>
      </c>
      <c r="AI311">
        <v>35</v>
      </c>
      <c r="AJ311">
        <v>36</v>
      </c>
      <c r="AK311">
        <v>37</v>
      </c>
      <c r="AL311">
        <v>38</v>
      </c>
      <c r="AM311">
        <v>39</v>
      </c>
      <c r="AN311">
        <v>40</v>
      </c>
      <c r="AO311">
        <v>41</v>
      </c>
      <c r="AP311">
        <v>42</v>
      </c>
      <c r="AQ311">
        <v>43</v>
      </c>
      <c r="AR311">
        <v>44</v>
      </c>
      <c r="AS311">
        <v>45</v>
      </c>
      <c r="AT311">
        <v>46</v>
      </c>
      <c r="AU311">
        <v>47</v>
      </c>
      <c r="AV311">
        <v>48</v>
      </c>
      <c r="AW311">
        <v>49</v>
      </c>
      <c r="AX311">
        <v>50</v>
      </c>
    </row>
    <row r="312" spans="1:50" ht="12.75" hidden="1">
      <c r="A312" s="21">
        <v>1</v>
      </c>
      <c r="B312">
        <v>0.7071</v>
      </c>
      <c r="C312" s="4">
        <v>0.7071</v>
      </c>
      <c r="D312" s="4">
        <v>0.6872</v>
      </c>
      <c r="E312" s="4">
        <v>0.6646</v>
      </c>
      <c r="F312" s="4">
        <v>0.6431</v>
      </c>
      <c r="G312" s="4">
        <v>0.6233</v>
      </c>
      <c r="H312" s="4">
        <v>0.6052</v>
      </c>
      <c r="I312" s="4">
        <v>0.5888</v>
      </c>
      <c r="J312" s="4">
        <v>0.5739</v>
      </c>
      <c r="K312" s="4">
        <v>0.5601</v>
      </c>
      <c r="L312" s="4">
        <v>0.5475</v>
      </c>
      <c r="M312" s="4">
        <v>0.5359</v>
      </c>
      <c r="N312" s="4">
        <v>0.5251</v>
      </c>
      <c r="O312" s="4">
        <v>0.515</v>
      </c>
      <c r="P312" s="4">
        <v>0.5056</v>
      </c>
      <c r="Q312" s="4">
        <v>0.4968</v>
      </c>
      <c r="R312" s="4">
        <v>0.4886</v>
      </c>
      <c r="S312" s="11">
        <v>0.4808</v>
      </c>
      <c r="T312">
        <v>0.4734</v>
      </c>
      <c r="U312">
        <v>0.4643</v>
      </c>
      <c r="V312">
        <v>0.459</v>
      </c>
      <c r="W312">
        <v>0.4542</v>
      </c>
      <c r="X312">
        <v>0.4493</v>
      </c>
      <c r="Y312">
        <v>0.445</v>
      </c>
      <c r="Z312">
        <v>0.4407</v>
      </c>
      <c r="AA312">
        <v>0.4366</v>
      </c>
      <c r="AB312">
        <v>0.4328</v>
      </c>
      <c r="AC312">
        <v>0.4291</v>
      </c>
      <c r="AD312">
        <v>0.4254</v>
      </c>
      <c r="AE312">
        <v>0.422</v>
      </c>
      <c r="AF312">
        <v>0.4188</v>
      </c>
      <c r="AG312">
        <v>0.4156</v>
      </c>
      <c r="AH312">
        <v>0.4127</v>
      </c>
      <c r="AI312">
        <v>0.4096</v>
      </c>
      <c r="AJ312">
        <v>0.4068</v>
      </c>
      <c r="AK312">
        <v>0.404</v>
      </c>
      <c r="AL312">
        <v>0.4015</v>
      </c>
      <c r="AM312">
        <v>0.3989</v>
      </c>
      <c r="AN312">
        <v>0.3964</v>
      </c>
      <c r="AO312">
        <v>0.394</v>
      </c>
      <c r="AP312">
        <v>0.3917</v>
      </c>
      <c r="AQ312">
        <v>0.3894</v>
      </c>
      <c r="AR312">
        <v>0.3872</v>
      </c>
      <c r="AS312">
        <v>0.385</v>
      </c>
      <c r="AT312">
        <v>0.383</v>
      </c>
      <c r="AU312">
        <v>0.3808</v>
      </c>
      <c r="AV312">
        <v>0.3789</v>
      </c>
      <c r="AW312">
        <v>0.377</v>
      </c>
      <c r="AX312">
        <v>0.3751</v>
      </c>
    </row>
    <row r="313" spans="1:50" ht="12.75" hidden="1">
      <c r="A313" s="21">
        <v>2</v>
      </c>
      <c r="C313" s="4">
        <v>0</v>
      </c>
      <c r="D313" s="4">
        <v>0.1677</v>
      </c>
      <c r="E313" s="4">
        <v>0.2413</v>
      </c>
      <c r="F313" s="4">
        <v>0.2896</v>
      </c>
      <c r="G313" s="4">
        <v>0.3031</v>
      </c>
      <c r="H313" s="4">
        <v>0.3164</v>
      </c>
      <c r="I313" s="4">
        <v>0.3244</v>
      </c>
      <c r="J313" s="4">
        <v>0.3291</v>
      </c>
      <c r="K313" s="4">
        <v>0.3315</v>
      </c>
      <c r="L313" s="4">
        <v>0.3325</v>
      </c>
      <c r="M313" s="4">
        <v>0.3325</v>
      </c>
      <c r="N313" s="4">
        <v>0.3318</v>
      </c>
      <c r="O313" s="4">
        <v>0.3306</v>
      </c>
      <c r="P313" s="4">
        <v>0.329</v>
      </c>
      <c r="Q313" s="4">
        <v>0.3273</v>
      </c>
      <c r="R313" s="4">
        <v>0.3253</v>
      </c>
      <c r="S313" s="11">
        <v>0.3232</v>
      </c>
      <c r="T313">
        <v>0.3211</v>
      </c>
      <c r="U313">
        <v>0.3185</v>
      </c>
      <c r="V313">
        <v>0.3156</v>
      </c>
      <c r="W313">
        <v>0.3126</v>
      </c>
      <c r="X313">
        <v>0.3098</v>
      </c>
      <c r="Y313">
        <v>0.3069</v>
      </c>
      <c r="Z313">
        <v>0.3043</v>
      </c>
      <c r="AA313">
        <v>0.3018</v>
      </c>
      <c r="AB313">
        <v>0.2992</v>
      </c>
      <c r="AC313">
        <v>0.2968</v>
      </c>
      <c r="AD313">
        <v>0.2944</v>
      </c>
      <c r="AE313">
        <v>0.2921</v>
      </c>
      <c r="AF313">
        <v>0.2898</v>
      </c>
      <c r="AG313">
        <v>2876</v>
      </c>
      <c r="AH313">
        <v>0.2854</v>
      </c>
      <c r="AI313">
        <v>0.2834</v>
      </c>
      <c r="AJ313">
        <v>0.2813</v>
      </c>
      <c r="AK313">
        <v>0.2794</v>
      </c>
      <c r="AL313">
        <v>0.2774</v>
      </c>
      <c r="AM313">
        <v>0.2755</v>
      </c>
      <c r="AN313">
        <v>0.2737</v>
      </c>
      <c r="AO313">
        <v>0.2719</v>
      </c>
      <c r="AP313">
        <v>0.2701</v>
      </c>
      <c r="AQ313">
        <v>0.2684</v>
      </c>
      <c r="AR313">
        <v>0.2667</v>
      </c>
      <c r="AS313">
        <v>0.2651</v>
      </c>
      <c r="AT313">
        <v>0.2635</v>
      </c>
      <c r="AU313">
        <v>0.262</v>
      </c>
      <c r="AV313">
        <v>0.2604</v>
      </c>
      <c r="AW313">
        <v>0.2589</v>
      </c>
      <c r="AX313">
        <v>0.2574</v>
      </c>
    </row>
    <row r="314" spans="1:50" ht="12.75" hidden="1">
      <c r="A314" s="21">
        <v>3</v>
      </c>
      <c r="E314" s="4">
        <v>0</v>
      </c>
      <c r="F314" s="4">
        <v>0.0875</v>
      </c>
      <c r="G314" s="4">
        <v>0.1401</v>
      </c>
      <c r="H314" s="4">
        <v>0.1743</v>
      </c>
      <c r="I314" s="4">
        <v>0.1976</v>
      </c>
      <c r="J314" s="4">
        <v>0.2141</v>
      </c>
      <c r="K314" s="4">
        <v>0.226</v>
      </c>
      <c r="L314" s="4">
        <v>0.2347</v>
      </c>
      <c r="M314" s="4">
        <v>0.2412</v>
      </c>
      <c r="N314" s="4">
        <v>0.246</v>
      </c>
      <c r="O314" s="4">
        <v>0.2495</v>
      </c>
      <c r="P314" s="4">
        <v>0.2521</v>
      </c>
      <c r="Q314" s="4">
        <v>0.254</v>
      </c>
      <c r="R314" s="4">
        <v>0.2553</v>
      </c>
      <c r="S314" s="11">
        <v>0.2561</v>
      </c>
      <c r="T314">
        <v>0.2565</v>
      </c>
      <c r="U314">
        <v>0.2578</v>
      </c>
      <c r="V314">
        <v>0.2571</v>
      </c>
      <c r="W314">
        <v>0.2563</v>
      </c>
      <c r="X314">
        <v>0.2554</v>
      </c>
      <c r="Y314">
        <v>0.2543</v>
      </c>
      <c r="Z314">
        <v>0.2533</v>
      </c>
      <c r="AA314">
        <v>0.2522</v>
      </c>
      <c r="AB314">
        <v>0.251</v>
      </c>
      <c r="AC314">
        <v>0.2499</v>
      </c>
      <c r="AD314">
        <v>0.2487</v>
      </c>
      <c r="AE314">
        <v>0.2475</v>
      </c>
      <c r="AF314">
        <v>0.2462</v>
      </c>
      <c r="AG314">
        <v>0.2451</v>
      </c>
      <c r="AH314">
        <v>0.2439</v>
      </c>
      <c r="AI314">
        <v>0.2427</v>
      </c>
      <c r="AJ314">
        <v>0.2415</v>
      </c>
      <c r="AK314">
        <v>0.2403</v>
      </c>
      <c r="AL314">
        <v>0.2391</v>
      </c>
      <c r="AM314">
        <v>0.238</v>
      </c>
      <c r="AN314">
        <v>0.2368</v>
      </c>
      <c r="AO314">
        <v>0.2357</v>
      </c>
      <c r="AP314">
        <v>0.2345</v>
      </c>
      <c r="AQ314">
        <v>0.2334</v>
      </c>
      <c r="AR314">
        <v>0.2323</v>
      </c>
      <c r="AS314">
        <v>0.2313</v>
      </c>
      <c r="AT314">
        <v>0.2302</v>
      </c>
      <c r="AU314">
        <v>0.2291</v>
      </c>
      <c r="AV314">
        <v>0.2281</v>
      </c>
      <c r="AW314">
        <v>0.2271</v>
      </c>
      <c r="AX314">
        <v>0.226</v>
      </c>
    </row>
    <row r="315" spans="1:50" ht="12.75" hidden="1">
      <c r="A315" s="21">
        <v>4</v>
      </c>
      <c r="G315" s="4">
        <v>0</v>
      </c>
      <c r="H315" s="4">
        <v>0.0561</v>
      </c>
      <c r="I315" s="4">
        <v>0.0947</v>
      </c>
      <c r="J315" s="4">
        <v>0.1224</v>
      </c>
      <c r="K315" s="4">
        <v>0.1429</v>
      </c>
      <c r="L315" s="4">
        <v>0.1586</v>
      </c>
      <c r="M315" s="4">
        <v>0.1707</v>
      </c>
      <c r="N315" s="4">
        <v>0.1802</v>
      </c>
      <c r="O315" s="4">
        <v>0.1878</v>
      </c>
      <c r="P315" s="4">
        <v>0.1939</v>
      </c>
      <c r="Q315" s="4">
        <v>0.1988</v>
      </c>
      <c r="R315" s="4">
        <v>0.2027</v>
      </c>
      <c r="S315" s="11">
        <v>0.2059</v>
      </c>
      <c r="T315">
        <v>0.2085</v>
      </c>
      <c r="U315">
        <v>0.2119</v>
      </c>
      <c r="V315">
        <v>0.2131</v>
      </c>
      <c r="W315">
        <v>0.2139</v>
      </c>
      <c r="X315">
        <v>0.2145</v>
      </c>
      <c r="Y315">
        <v>0.2148</v>
      </c>
      <c r="Z315">
        <v>0.2151</v>
      </c>
      <c r="AA315">
        <v>0.2152</v>
      </c>
      <c r="AB315">
        <v>0.2151</v>
      </c>
      <c r="AC315">
        <v>0.215</v>
      </c>
      <c r="AD315">
        <v>0.2148</v>
      </c>
      <c r="AE315">
        <v>0.2145</v>
      </c>
      <c r="AF315">
        <v>0.2141</v>
      </c>
      <c r="AG315">
        <v>0.2137</v>
      </c>
      <c r="AH315">
        <v>0.2132</v>
      </c>
      <c r="AI315">
        <v>0.2127</v>
      </c>
      <c r="AJ315">
        <v>0.2121</v>
      </c>
      <c r="AK315">
        <v>0.2116</v>
      </c>
      <c r="AL315">
        <v>0.211</v>
      </c>
      <c r="AM315">
        <v>0.2104</v>
      </c>
      <c r="AN315">
        <v>0.2098</v>
      </c>
      <c r="AO315">
        <v>0.2091</v>
      </c>
      <c r="AP315">
        <v>0.2085</v>
      </c>
      <c r="AQ315">
        <v>0.2078</v>
      </c>
      <c r="AR315">
        <v>0.2072</v>
      </c>
      <c r="AS315">
        <v>0.2065</v>
      </c>
      <c r="AT315">
        <v>0.2058</v>
      </c>
      <c r="AU315">
        <v>0.2052</v>
      </c>
      <c r="AV315">
        <v>0.2045</v>
      </c>
      <c r="AW315">
        <v>0.2038</v>
      </c>
      <c r="AX315">
        <v>0.2032</v>
      </c>
    </row>
    <row r="316" spans="1:50" ht="12.75" hidden="1">
      <c r="A316" s="21">
        <v>5</v>
      </c>
      <c r="I316" s="4">
        <v>0</v>
      </c>
      <c r="J316" s="4">
        <v>0.0399</v>
      </c>
      <c r="K316" s="4">
        <v>0.0695</v>
      </c>
      <c r="L316" s="4">
        <v>0.0922</v>
      </c>
      <c r="M316" s="4">
        <v>0.1099</v>
      </c>
      <c r="N316" s="4">
        <v>0.124</v>
      </c>
      <c r="O316" s="4">
        <v>0.1353</v>
      </c>
      <c r="P316" s="4">
        <v>0.1447</v>
      </c>
      <c r="Q316" s="4">
        <v>0.1524</v>
      </c>
      <c r="R316" s="4">
        <v>0.1587</v>
      </c>
      <c r="S316" s="11">
        <v>0.1641</v>
      </c>
      <c r="T316">
        <v>0.1686</v>
      </c>
      <c r="U316">
        <v>0.1736</v>
      </c>
      <c r="V316">
        <v>0.1764</v>
      </c>
      <c r="W316">
        <v>0.1787</v>
      </c>
      <c r="X316">
        <v>0.1807</v>
      </c>
      <c r="Y316">
        <v>0.1822</v>
      </c>
      <c r="Z316">
        <v>0.1836</v>
      </c>
      <c r="AA316">
        <v>0.1848</v>
      </c>
      <c r="AB316">
        <v>0.1857</v>
      </c>
      <c r="AC316">
        <v>0.1864</v>
      </c>
      <c r="AD316">
        <v>0.187</v>
      </c>
      <c r="AE316">
        <v>0.1874</v>
      </c>
      <c r="AF316">
        <v>0.1878</v>
      </c>
      <c r="AG316">
        <v>0.188</v>
      </c>
      <c r="AH316">
        <v>0.1882</v>
      </c>
      <c r="AI316">
        <v>0.1883</v>
      </c>
      <c r="AJ316">
        <v>0.1883</v>
      </c>
      <c r="AK316">
        <v>0.1883</v>
      </c>
      <c r="AL316">
        <v>0.1881</v>
      </c>
      <c r="AM316">
        <v>0.188</v>
      </c>
      <c r="AN316">
        <v>0.1878</v>
      </c>
      <c r="AO316">
        <v>0.1876</v>
      </c>
      <c r="AP316">
        <v>0.1874</v>
      </c>
      <c r="AQ316">
        <v>0.1871</v>
      </c>
      <c r="AR316">
        <v>0.1868</v>
      </c>
      <c r="AS316">
        <v>0.1865</v>
      </c>
      <c r="AT316">
        <v>0.1862</v>
      </c>
      <c r="AU316">
        <v>0.1859</v>
      </c>
      <c r="AV316">
        <v>0.1855</v>
      </c>
      <c r="AW316">
        <v>0.1851</v>
      </c>
      <c r="AX316">
        <v>0.1847</v>
      </c>
    </row>
    <row r="317" spans="1:50" ht="12.75" hidden="1">
      <c r="A317" s="21">
        <v>6</v>
      </c>
      <c r="I317"/>
      <c r="J317"/>
      <c r="K317" s="4">
        <v>0</v>
      </c>
      <c r="L317" s="4">
        <v>0.0303</v>
      </c>
      <c r="M317" s="4">
        <v>0.0539</v>
      </c>
      <c r="N317" s="4">
        <v>0.0727</v>
      </c>
      <c r="O317" s="4">
        <v>0.088</v>
      </c>
      <c r="P317" s="4">
        <v>0.1005</v>
      </c>
      <c r="Q317" s="4">
        <v>0.1109</v>
      </c>
      <c r="R317" s="4">
        <v>0.1197</v>
      </c>
      <c r="S317" s="11">
        <v>0.1271</v>
      </c>
      <c r="T317">
        <v>0.1334</v>
      </c>
      <c r="U317">
        <v>0.1399</v>
      </c>
      <c r="V317">
        <v>0.1443</v>
      </c>
      <c r="W317">
        <v>0.148</v>
      </c>
      <c r="X317">
        <v>0.1512</v>
      </c>
      <c r="Y317">
        <v>0.1539</v>
      </c>
      <c r="Z317">
        <v>0.1563</v>
      </c>
      <c r="AA317">
        <v>0.1584</v>
      </c>
      <c r="AB317">
        <v>0.1601</v>
      </c>
      <c r="AC317">
        <v>0.1616</v>
      </c>
      <c r="AD317">
        <v>0.163</v>
      </c>
      <c r="AE317">
        <v>0.1641</v>
      </c>
      <c r="AF317">
        <v>0.1651</v>
      </c>
      <c r="AG317">
        <v>0.166</v>
      </c>
      <c r="AH317">
        <v>0.1667</v>
      </c>
      <c r="AI317">
        <v>0.1673</v>
      </c>
      <c r="AJ317">
        <v>0.1678</v>
      </c>
      <c r="AK317">
        <v>0.1683</v>
      </c>
      <c r="AL317">
        <v>0.1686</v>
      </c>
      <c r="AM317">
        <v>0.1689</v>
      </c>
      <c r="AN317">
        <v>0.1691</v>
      </c>
      <c r="AO317">
        <v>0.1693</v>
      </c>
      <c r="AP317">
        <v>0.1694</v>
      </c>
      <c r="AQ317">
        <v>0.1695</v>
      </c>
      <c r="AR317">
        <v>0.1695</v>
      </c>
      <c r="AS317">
        <v>0.1695</v>
      </c>
      <c r="AT317">
        <v>0.1695</v>
      </c>
      <c r="AU317">
        <v>0.1695</v>
      </c>
      <c r="AV317">
        <v>0.1693</v>
      </c>
      <c r="AW317">
        <v>0.1692</v>
      </c>
      <c r="AX317">
        <v>0.1691</v>
      </c>
    </row>
    <row r="318" spans="1:50" ht="12.75" hidden="1">
      <c r="A318" s="21">
        <v>7</v>
      </c>
      <c r="M318" s="4">
        <v>0</v>
      </c>
      <c r="N318" s="4">
        <v>0.024</v>
      </c>
      <c r="O318" s="4">
        <v>0.0433</v>
      </c>
      <c r="P318" s="4">
        <v>0.0593</v>
      </c>
      <c r="Q318" s="4">
        <v>0.0725</v>
      </c>
      <c r="R318" s="4">
        <v>0.0837</v>
      </c>
      <c r="S318" s="11">
        <v>0.0932</v>
      </c>
      <c r="T318">
        <v>0.1013</v>
      </c>
      <c r="U318">
        <v>0.1092</v>
      </c>
      <c r="V318">
        <v>0.115</v>
      </c>
      <c r="W318">
        <v>0.1201</v>
      </c>
      <c r="X318">
        <v>0.1245</v>
      </c>
      <c r="Y318">
        <v>0.1283</v>
      </c>
      <c r="Z318">
        <v>0.1316</v>
      </c>
      <c r="AA318">
        <v>0.1346</v>
      </c>
      <c r="AB318">
        <v>0.1372</v>
      </c>
      <c r="AC318">
        <v>0.1395</v>
      </c>
      <c r="AD318">
        <v>0.1415</v>
      </c>
      <c r="AE318">
        <v>0.1433</v>
      </c>
      <c r="AF318">
        <v>0.1449</v>
      </c>
      <c r="AG318">
        <v>0.1463</v>
      </c>
      <c r="AH318">
        <v>0.1475</v>
      </c>
      <c r="AI318">
        <v>0.1487</v>
      </c>
      <c r="AJ318">
        <v>0.1496</v>
      </c>
      <c r="AK318">
        <v>0.1505</v>
      </c>
      <c r="AL318">
        <v>0.1513</v>
      </c>
      <c r="AM318">
        <v>0.152</v>
      </c>
      <c r="AN318">
        <v>0.1526</v>
      </c>
      <c r="AO318">
        <v>0.1531</v>
      </c>
      <c r="AP318">
        <v>0.1535</v>
      </c>
      <c r="AQ318">
        <v>0.1539</v>
      </c>
      <c r="AR318">
        <v>0.1542</v>
      </c>
      <c r="AS318">
        <v>0.1545</v>
      </c>
      <c r="AT318">
        <v>0.1548</v>
      </c>
      <c r="AU318">
        <v>0.155</v>
      </c>
      <c r="AV318">
        <v>0.1551</v>
      </c>
      <c r="AW318">
        <v>0.1553</v>
      </c>
      <c r="AX318">
        <v>0.1554</v>
      </c>
    </row>
    <row r="319" spans="1:50" ht="12.75" hidden="1">
      <c r="A319" s="21">
        <v>8</v>
      </c>
      <c r="O319" s="4">
        <v>0</v>
      </c>
      <c r="P319" s="4">
        <v>0.0196</v>
      </c>
      <c r="Q319" s="4">
        <v>0.0359</v>
      </c>
      <c r="R319" s="4">
        <v>0.0496</v>
      </c>
      <c r="S319" s="11">
        <v>0.0612</v>
      </c>
      <c r="T319">
        <v>0.0711</v>
      </c>
      <c r="U319">
        <v>0.0804</v>
      </c>
      <c r="V319">
        <v>0.0878</v>
      </c>
      <c r="W319">
        <v>0.0941</v>
      </c>
      <c r="X319">
        <v>0.0997</v>
      </c>
      <c r="Y319">
        <v>0.1046</v>
      </c>
      <c r="Z319">
        <v>0.1089</v>
      </c>
      <c r="AA319">
        <v>0.1128</v>
      </c>
      <c r="AB319">
        <v>0.1162</v>
      </c>
      <c r="AC319">
        <v>0.1192</v>
      </c>
      <c r="AD319">
        <v>0.1219</v>
      </c>
      <c r="AE319">
        <v>0.1243</v>
      </c>
      <c r="AF319">
        <v>0.1265</v>
      </c>
      <c r="AG319">
        <v>0.1284</v>
      </c>
      <c r="AH319">
        <v>0.1301</v>
      </c>
      <c r="AI319">
        <v>0.1317</v>
      </c>
      <c r="AJ319">
        <v>0.1331</v>
      </c>
      <c r="AK319">
        <v>0.1344</v>
      </c>
      <c r="AL319">
        <v>0.1356</v>
      </c>
      <c r="AM319">
        <v>0.1366</v>
      </c>
      <c r="AN319">
        <v>0.1376</v>
      </c>
      <c r="AO319">
        <v>0.1384</v>
      </c>
      <c r="AP319">
        <v>0.1392</v>
      </c>
      <c r="AQ319">
        <v>0.1398</v>
      </c>
      <c r="AR319">
        <v>0.1405</v>
      </c>
      <c r="AS319">
        <v>0.141</v>
      </c>
      <c r="AT319">
        <v>0.1415</v>
      </c>
      <c r="AU319">
        <v>0.142</v>
      </c>
      <c r="AV319">
        <v>0.1423</v>
      </c>
      <c r="AW319">
        <v>0.1427</v>
      </c>
      <c r="AX319">
        <v>0.143</v>
      </c>
    </row>
    <row r="320" spans="1:50" ht="12.75" hidden="1">
      <c r="A320" s="21">
        <v>9</v>
      </c>
      <c r="Q320" s="4">
        <v>0</v>
      </c>
      <c r="R320" s="4">
        <v>0.0163</v>
      </c>
      <c r="S320" s="11">
        <v>0.0303</v>
      </c>
      <c r="T320">
        <v>0.0422</v>
      </c>
      <c r="U320">
        <v>0.053</v>
      </c>
      <c r="V320">
        <v>0.0618</v>
      </c>
      <c r="W320">
        <v>0.0696</v>
      </c>
      <c r="X320">
        <v>0.0764</v>
      </c>
      <c r="Y320">
        <v>0.0823</v>
      </c>
      <c r="Z320">
        <v>0.0876</v>
      </c>
      <c r="AA320">
        <v>0.0923</v>
      </c>
      <c r="AB320">
        <v>0.0965</v>
      </c>
      <c r="AC320">
        <v>0.1002</v>
      </c>
      <c r="AD320">
        <v>0.1036</v>
      </c>
      <c r="AE320">
        <v>0.1066</v>
      </c>
      <c r="AF320">
        <v>0.1093</v>
      </c>
      <c r="AG320">
        <v>0.1116</v>
      </c>
      <c r="AH320">
        <v>0.114</v>
      </c>
      <c r="AI320">
        <v>0.116</v>
      </c>
      <c r="AJ320">
        <v>0.1179</v>
      </c>
      <c r="AK320">
        <v>0.1196</v>
      </c>
      <c r="AL320">
        <v>0.1211</v>
      </c>
      <c r="AM320">
        <v>0.1225</v>
      </c>
      <c r="AN320">
        <v>0.1237</v>
      </c>
      <c r="AO320">
        <v>0.1249</v>
      </c>
      <c r="AP320">
        <v>0.1259</v>
      </c>
      <c r="AQ320">
        <v>0.1269</v>
      </c>
      <c r="AR320">
        <v>0.1278</v>
      </c>
      <c r="AS320">
        <v>0.1286</v>
      </c>
      <c r="AT320">
        <v>0.1293</v>
      </c>
      <c r="AU320">
        <v>0.13</v>
      </c>
      <c r="AV320">
        <v>0.1306</v>
      </c>
      <c r="AW320">
        <v>0.1312</v>
      </c>
      <c r="AX320">
        <v>0.1317</v>
      </c>
    </row>
    <row r="321" spans="1:50" ht="12.75" hidden="1">
      <c r="A321" s="21">
        <v>10</v>
      </c>
      <c r="S321" s="11">
        <v>0</v>
      </c>
      <c r="T321">
        <v>0.014</v>
      </c>
      <c r="U321">
        <v>0.0263</v>
      </c>
      <c r="V321">
        <v>0.0368</v>
      </c>
      <c r="W321">
        <v>0.0459</v>
      </c>
      <c r="X321">
        <v>0.0539</v>
      </c>
      <c r="Y321">
        <v>0.061</v>
      </c>
      <c r="Z321">
        <v>0.0672</v>
      </c>
      <c r="AA321">
        <v>0.0728</v>
      </c>
      <c r="AB321">
        <v>0.0778</v>
      </c>
      <c r="AC321">
        <v>0.0822</v>
      </c>
      <c r="AD321">
        <v>0.0862</v>
      </c>
      <c r="AE321">
        <v>0.0899</v>
      </c>
      <c r="AF321">
        <v>0.0931</v>
      </c>
      <c r="AG321">
        <v>0.0961</v>
      </c>
      <c r="AH321">
        <v>0.0988</v>
      </c>
      <c r="AI321">
        <v>0.1013</v>
      </c>
      <c r="AJ321">
        <v>0.1036</v>
      </c>
      <c r="AK321">
        <v>0.1056</v>
      </c>
      <c r="AL321">
        <v>0.1075</v>
      </c>
      <c r="AM321">
        <v>0.1092</v>
      </c>
      <c r="AN321">
        <v>0.1108</v>
      </c>
      <c r="AO321">
        <v>0.1123</v>
      </c>
      <c r="AP321">
        <v>0.1136</v>
      </c>
      <c r="AQ321">
        <v>0.1149</v>
      </c>
      <c r="AR321">
        <v>0.116</v>
      </c>
      <c r="AS321">
        <v>0.117</v>
      </c>
      <c r="AT321">
        <v>0.118</v>
      </c>
      <c r="AU321">
        <v>0.1189</v>
      </c>
      <c r="AV321">
        <v>0.1197</v>
      </c>
      <c r="AW321">
        <v>0.1205</v>
      </c>
      <c r="AX321">
        <v>0.1212</v>
      </c>
    </row>
    <row r="322" spans="1:50" ht="12.75" hidden="1">
      <c r="A322" s="21">
        <v>11</v>
      </c>
      <c r="U322">
        <v>0</v>
      </c>
      <c r="V322">
        <v>0.0122</v>
      </c>
      <c r="W322">
        <v>0.0228</v>
      </c>
      <c r="X322">
        <v>0.0321</v>
      </c>
      <c r="Y322">
        <v>0.0403</v>
      </c>
      <c r="Z322">
        <v>0.0476</v>
      </c>
      <c r="AA322">
        <v>0.054</v>
      </c>
      <c r="AB322">
        <v>0.0598</v>
      </c>
      <c r="AC322">
        <v>0.065</v>
      </c>
      <c r="AD322">
        <v>0.0697</v>
      </c>
      <c r="AE322">
        <v>0.0739</v>
      </c>
      <c r="AF322">
        <v>0.0777</v>
      </c>
      <c r="AG322">
        <v>0.0812</v>
      </c>
      <c r="AH322">
        <v>0.0844</v>
      </c>
      <c r="AI322">
        <v>0.0873</v>
      </c>
      <c r="AJ322">
        <v>0.09</v>
      </c>
      <c r="AK322">
        <v>0.0924</v>
      </c>
      <c r="AL322">
        <v>0.0947</v>
      </c>
      <c r="AM322">
        <v>0.0967</v>
      </c>
      <c r="AN322">
        <v>0.0986</v>
      </c>
      <c r="AO322">
        <v>0.1004</v>
      </c>
      <c r="AP322">
        <v>0.102</v>
      </c>
      <c r="AQ322">
        <v>0.1035</v>
      </c>
      <c r="AR322">
        <v>0.1049</v>
      </c>
      <c r="AS322">
        <v>0.1062</v>
      </c>
      <c r="AT322">
        <v>0.1073</v>
      </c>
      <c r="AU322">
        <v>0.1085</v>
      </c>
      <c r="AV322">
        <v>0.1095</v>
      </c>
      <c r="AW322">
        <v>0.1105</v>
      </c>
      <c r="AX322">
        <v>0.1113</v>
      </c>
    </row>
    <row r="323" spans="1:50" ht="12.75" hidden="1">
      <c r="A323" s="21">
        <v>12</v>
      </c>
      <c r="W323">
        <v>0</v>
      </c>
      <c r="X323">
        <v>0.0107</v>
      </c>
      <c r="Y323">
        <v>0.02</v>
      </c>
      <c r="Z323">
        <v>0.0284</v>
      </c>
      <c r="AA323">
        <v>0.0358</v>
      </c>
      <c r="AB323">
        <v>0.0424</v>
      </c>
      <c r="AC323">
        <v>0.0483</v>
      </c>
      <c r="AD323">
        <v>0.0537</v>
      </c>
      <c r="AE323">
        <v>0.0585</v>
      </c>
      <c r="AF323">
        <v>0.0629</v>
      </c>
      <c r="AG323">
        <v>0.0669</v>
      </c>
      <c r="AH323">
        <v>0.0706</v>
      </c>
      <c r="AI323">
        <v>0.0739</v>
      </c>
      <c r="AJ323">
        <v>0.077</v>
      </c>
      <c r="AK323">
        <v>0.0798</v>
      </c>
      <c r="AL323">
        <v>0.0824</v>
      </c>
      <c r="AM323">
        <v>0.0848</v>
      </c>
      <c r="AN323">
        <v>0.087</v>
      </c>
      <c r="AO323">
        <v>0.0891</v>
      </c>
      <c r="AP323">
        <v>0.0909</v>
      </c>
      <c r="AQ323">
        <v>0.0927</v>
      </c>
      <c r="AR323">
        <v>0.0943</v>
      </c>
      <c r="AS323">
        <v>0.0959</v>
      </c>
      <c r="AT323">
        <v>0.0972</v>
      </c>
      <c r="AU323">
        <v>0.0986</v>
      </c>
      <c r="AV323">
        <v>0.0998</v>
      </c>
      <c r="AW323">
        <v>0.101</v>
      </c>
      <c r="AX323">
        <v>0.102</v>
      </c>
    </row>
    <row r="324" spans="1:50" ht="12.75" hidden="1">
      <c r="A324" s="21">
        <v>13</v>
      </c>
      <c r="Y324">
        <v>0</v>
      </c>
      <c r="Z324">
        <v>0.0094</v>
      </c>
      <c r="AA324">
        <v>0.0178</v>
      </c>
      <c r="AB324">
        <v>0.0253</v>
      </c>
      <c r="AC324">
        <v>0.032</v>
      </c>
      <c r="AD324">
        <v>0.0381</v>
      </c>
      <c r="AE324">
        <v>0.0435</v>
      </c>
      <c r="AF324">
        <v>0.0485</v>
      </c>
      <c r="AG324">
        <v>0.053</v>
      </c>
      <c r="AH324">
        <v>0.0572</v>
      </c>
      <c r="AI324">
        <v>0.061</v>
      </c>
      <c r="AJ324">
        <v>0.0645</v>
      </c>
      <c r="AK324">
        <v>0.0677</v>
      </c>
      <c r="AL324">
        <v>0.0706</v>
      </c>
      <c r="AM324">
        <v>0.0733</v>
      </c>
      <c r="AN324">
        <v>0.0759</v>
      </c>
      <c r="AO324">
        <v>0.0782</v>
      </c>
      <c r="AP324">
        <v>0.0804</v>
      </c>
      <c r="AQ324">
        <v>0.0824</v>
      </c>
      <c r="AR324">
        <v>0.0842</v>
      </c>
      <c r="AS324">
        <v>0.086</v>
      </c>
      <c r="AT324">
        <v>0.0876</v>
      </c>
      <c r="AU324">
        <v>0.0892</v>
      </c>
      <c r="AV324">
        <v>0.0906</v>
      </c>
      <c r="AW324">
        <v>0.0919</v>
      </c>
      <c r="AX324">
        <v>0.0932</v>
      </c>
    </row>
    <row r="325" spans="1:50" ht="12.75" hidden="1">
      <c r="A325" s="21">
        <v>14</v>
      </c>
      <c r="AA325">
        <v>0</v>
      </c>
      <c r="AB325">
        <v>0.0084</v>
      </c>
      <c r="AC325">
        <v>0.0159</v>
      </c>
      <c r="AD325">
        <v>0.0227</v>
      </c>
      <c r="AE325">
        <v>0.0289</v>
      </c>
      <c r="AF325">
        <v>0.0344</v>
      </c>
      <c r="AG325">
        <v>0.0395</v>
      </c>
      <c r="AH325">
        <v>0.0441</v>
      </c>
      <c r="AI325">
        <v>0.0484</v>
      </c>
      <c r="AJ325">
        <v>0.0523</v>
      </c>
      <c r="AK325">
        <v>0.0559</v>
      </c>
      <c r="AL325">
        <v>0.0592</v>
      </c>
      <c r="AM325">
        <v>0.0622</v>
      </c>
      <c r="AN325">
        <v>0.0651</v>
      </c>
      <c r="AO325">
        <v>0.0677</v>
      </c>
      <c r="AP325">
        <v>0.0701</v>
      </c>
      <c r="AQ325">
        <v>0.0724</v>
      </c>
      <c r="AR325">
        <v>0.0745</v>
      </c>
      <c r="AS325">
        <v>0.0765</v>
      </c>
      <c r="AT325">
        <v>0.0783</v>
      </c>
      <c r="AU325">
        <v>0.0801</v>
      </c>
      <c r="AV325">
        <v>0.0817</v>
      </c>
      <c r="AW325">
        <v>0.0832</v>
      </c>
      <c r="AX325">
        <v>0.0846</v>
      </c>
    </row>
    <row r="326" spans="1:50" ht="12.75" hidden="1">
      <c r="A326" s="21">
        <v>15</v>
      </c>
      <c r="AC326">
        <v>0</v>
      </c>
      <c r="AD326">
        <v>0.0076</v>
      </c>
      <c r="AE326">
        <v>0.0144</v>
      </c>
      <c r="AF326">
        <v>0.0206</v>
      </c>
      <c r="AG326">
        <v>0.0262</v>
      </c>
      <c r="AH326">
        <v>0.0314</v>
      </c>
      <c r="AI326">
        <v>0.0361</v>
      </c>
      <c r="AJ326">
        <v>0.0404</v>
      </c>
      <c r="AK326">
        <v>0.0444</v>
      </c>
      <c r="AL326">
        <v>0.0481</v>
      </c>
      <c r="AM326">
        <v>0.0515</v>
      </c>
      <c r="AN326">
        <v>0.0546</v>
      </c>
      <c r="AO326">
        <v>0.0575</v>
      </c>
      <c r="AP326">
        <v>0.0602</v>
      </c>
      <c r="AQ326">
        <v>0.0628</v>
      </c>
      <c r="AR326">
        <v>0.0651</v>
      </c>
      <c r="AS326">
        <v>0.0673</v>
      </c>
      <c r="AT326">
        <v>0.0694</v>
      </c>
      <c r="AU326">
        <v>0.0713</v>
      </c>
      <c r="AV326">
        <v>0.0731</v>
      </c>
      <c r="AW326">
        <v>0.0748</v>
      </c>
      <c r="AX326">
        <v>0.0764</v>
      </c>
    </row>
    <row r="327" spans="1:50" ht="12.75" hidden="1">
      <c r="A327" s="21">
        <v>16</v>
      </c>
      <c r="AE327">
        <v>0</v>
      </c>
      <c r="AF327">
        <v>0.0068</v>
      </c>
      <c r="AG327">
        <v>0.0131</v>
      </c>
      <c r="AH327">
        <v>0.0187</v>
      </c>
      <c r="AI327">
        <v>0.0239</v>
      </c>
      <c r="AJ327">
        <v>0.0287</v>
      </c>
      <c r="AK327">
        <v>0.0331</v>
      </c>
      <c r="AL327">
        <v>0.0372</v>
      </c>
      <c r="AM327">
        <v>0.0409</v>
      </c>
      <c r="AN327">
        <v>0.0444</v>
      </c>
      <c r="AO327">
        <v>0.0476</v>
      </c>
      <c r="AP327">
        <v>0.0506</v>
      </c>
      <c r="AQ327">
        <v>0.0534</v>
      </c>
      <c r="AR327">
        <v>0.056</v>
      </c>
      <c r="AS327">
        <v>0.0584</v>
      </c>
      <c r="AT327">
        <v>0.0607</v>
      </c>
      <c r="AU327">
        <v>0.0628</v>
      </c>
      <c r="AV327">
        <v>0.0648</v>
      </c>
      <c r="AW327">
        <v>0.0667</v>
      </c>
      <c r="AX327">
        <v>0.0685</v>
      </c>
    </row>
    <row r="328" spans="1:50" ht="12.75" hidden="1">
      <c r="A328" s="21">
        <v>17</v>
      </c>
      <c r="AG328">
        <v>0</v>
      </c>
      <c r="AH328">
        <v>0.0062</v>
      </c>
      <c r="AI328">
        <v>0.0119</v>
      </c>
      <c r="AJ328">
        <v>0.0172</v>
      </c>
      <c r="AK328">
        <v>0.022</v>
      </c>
      <c r="AL328">
        <v>0.0264</v>
      </c>
      <c r="AM328">
        <v>0.0305</v>
      </c>
      <c r="AN328">
        <v>0.0343</v>
      </c>
      <c r="AO328">
        <v>0.0379</v>
      </c>
      <c r="AP328">
        <v>0.0411</v>
      </c>
      <c r="AQ328">
        <v>0.0442</v>
      </c>
      <c r="AR328">
        <v>0.0471</v>
      </c>
      <c r="AS328">
        <v>0.0497</v>
      </c>
      <c r="AT328">
        <v>0.0522</v>
      </c>
      <c r="AU328">
        <v>0.0546</v>
      </c>
      <c r="AV328">
        <v>0.0568</v>
      </c>
      <c r="AW328">
        <v>0.0588</v>
      </c>
      <c r="AX328">
        <v>0.0608</v>
      </c>
    </row>
    <row r="329" spans="1:50" ht="12.75" hidden="1">
      <c r="A329" s="21">
        <v>18</v>
      </c>
      <c r="AI329">
        <v>0</v>
      </c>
      <c r="AJ329">
        <v>0.0057</v>
      </c>
      <c r="AK329">
        <v>0.011</v>
      </c>
      <c r="AL329">
        <v>0.0158</v>
      </c>
      <c r="AM329">
        <v>0.0203</v>
      </c>
      <c r="AN329">
        <v>0.0244</v>
      </c>
      <c r="AO329">
        <v>0.0283</v>
      </c>
      <c r="AP329">
        <v>0.0318</v>
      </c>
      <c r="AQ329">
        <v>0.0352</v>
      </c>
      <c r="AR329">
        <v>0.0383</v>
      </c>
      <c r="AS329">
        <v>0.0412</v>
      </c>
      <c r="AT329">
        <v>0.0439</v>
      </c>
      <c r="AU329">
        <v>0.0465</v>
      </c>
      <c r="AV329">
        <v>0.0489</v>
      </c>
      <c r="AW329">
        <v>0.0511</v>
      </c>
      <c r="AX329">
        <v>0.0532</v>
      </c>
    </row>
    <row r="330" spans="1:50" ht="12.75" hidden="1">
      <c r="A330" s="21">
        <v>19</v>
      </c>
      <c r="AK330">
        <v>0</v>
      </c>
      <c r="AL330">
        <v>0.0053</v>
      </c>
      <c r="AM330">
        <v>0.0101</v>
      </c>
      <c r="AN330">
        <v>0.0146</v>
      </c>
      <c r="AO330">
        <v>0.0188</v>
      </c>
      <c r="AP330">
        <v>0.0227</v>
      </c>
      <c r="AQ330">
        <v>0.0263</v>
      </c>
      <c r="AR330">
        <v>0.0296</v>
      </c>
      <c r="AS330">
        <v>0.0328</v>
      </c>
      <c r="AT330">
        <v>0.0357</v>
      </c>
      <c r="AU330">
        <v>0.0385</v>
      </c>
      <c r="AV330">
        <v>0.0411</v>
      </c>
      <c r="AW330">
        <v>0.0436</v>
      </c>
      <c r="AX330">
        <v>0.0459</v>
      </c>
    </row>
    <row r="331" spans="1:50" ht="12.75" hidden="1">
      <c r="A331" s="21">
        <v>20</v>
      </c>
      <c r="AM331">
        <v>0</v>
      </c>
      <c r="AN331">
        <v>0.0049</v>
      </c>
      <c r="AO331">
        <v>0.0094</v>
      </c>
      <c r="AP331">
        <v>0.0136</v>
      </c>
      <c r="AQ331">
        <v>0.0175</v>
      </c>
      <c r="AR331">
        <v>0.0211</v>
      </c>
      <c r="AS331">
        <v>0.0245</v>
      </c>
      <c r="AT331">
        <v>0.0277</v>
      </c>
      <c r="AU331">
        <v>0.0307</v>
      </c>
      <c r="AV331">
        <v>0.0335</v>
      </c>
      <c r="AW331">
        <v>0.0361</v>
      </c>
      <c r="AX331">
        <v>0.0386</v>
      </c>
    </row>
    <row r="332" spans="1:50" ht="12.75" hidden="1">
      <c r="A332" s="21">
        <v>21</v>
      </c>
      <c r="AO332">
        <v>0</v>
      </c>
      <c r="AP332">
        <v>0.0045</v>
      </c>
      <c r="AQ332">
        <v>0.0087</v>
      </c>
      <c r="AR332">
        <v>0.0126</v>
      </c>
      <c r="AS332">
        <v>0.0163</v>
      </c>
      <c r="AT332">
        <v>0.0197</v>
      </c>
      <c r="AU332">
        <v>0.0229</v>
      </c>
      <c r="AV332">
        <v>0.0259</v>
      </c>
      <c r="AW332">
        <v>0.0288</v>
      </c>
      <c r="AX332">
        <v>0.0314</v>
      </c>
    </row>
    <row r="333" spans="1:50" ht="12.75" hidden="1">
      <c r="A333" s="21">
        <v>22</v>
      </c>
      <c r="AQ333">
        <v>0</v>
      </c>
      <c r="AR333">
        <v>0.0042</v>
      </c>
      <c r="AS333">
        <v>0.0081</v>
      </c>
      <c r="AT333">
        <v>0.0118</v>
      </c>
      <c r="AU333">
        <v>0.0153</v>
      </c>
      <c r="AV333">
        <v>0.0185</v>
      </c>
      <c r="AW333">
        <v>0.0215</v>
      </c>
      <c r="AX333">
        <v>0.0244</v>
      </c>
    </row>
    <row r="334" spans="1:50" ht="12.75" hidden="1">
      <c r="A334" s="21">
        <v>23</v>
      </c>
      <c r="AS334">
        <v>0</v>
      </c>
      <c r="AT334">
        <v>0.0039</v>
      </c>
      <c r="AU334">
        <v>0.0076</v>
      </c>
      <c r="AV334">
        <v>0.0111</v>
      </c>
      <c r="AW334">
        <v>0.0143</v>
      </c>
      <c r="AX334">
        <v>0.0174</v>
      </c>
    </row>
    <row r="335" spans="1:50" ht="12.75" hidden="1">
      <c r="A335" s="21">
        <v>24</v>
      </c>
      <c r="AU335">
        <v>0</v>
      </c>
      <c r="AV335">
        <v>0.0037</v>
      </c>
      <c r="AW335">
        <v>0.0071</v>
      </c>
      <c r="AX335">
        <v>0.0104</v>
      </c>
    </row>
    <row r="336" spans="1:50" ht="12.75" hidden="1">
      <c r="A336" s="21">
        <v>25</v>
      </c>
      <c r="AW336">
        <v>0</v>
      </c>
      <c r="AX336">
        <v>0.0035</v>
      </c>
    </row>
    <row r="337" ht="12.75" hidden="1"/>
    <row r="338" ht="12.75" hidden="1"/>
    <row r="339" ht="12.75" hidden="1">
      <c r="A339" s="21" t="s">
        <v>212</v>
      </c>
    </row>
    <row r="340" spans="1:2" ht="12.75" hidden="1">
      <c r="A340" s="21" t="s">
        <v>62</v>
      </c>
      <c r="B340" t="s">
        <v>213</v>
      </c>
    </row>
    <row r="341" spans="2:6" ht="12.75" hidden="1">
      <c r="B341">
        <v>0.01</v>
      </c>
      <c r="C341">
        <v>0.02</v>
      </c>
      <c r="D341">
        <v>0.05</v>
      </c>
      <c r="E341">
        <v>0.1</v>
      </c>
      <c r="F341">
        <v>0.5</v>
      </c>
    </row>
    <row r="342" spans="3:6" ht="12.75" hidden="1">
      <c r="C342"/>
      <c r="D342"/>
      <c r="E342"/>
      <c r="F342"/>
    </row>
    <row r="343" spans="1:6" ht="12.75" hidden="1">
      <c r="A343" s="21">
        <v>3</v>
      </c>
      <c r="B343">
        <v>0.753</v>
      </c>
      <c r="C343">
        <v>0.756</v>
      </c>
      <c r="D343">
        <v>0.767</v>
      </c>
      <c r="E343">
        <v>0.789</v>
      </c>
      <c r="F343">
        <v>0.959</v>
      </c>
    </row>
    <row r="344" spans="1:6" ht="12.75" hidden="1">
      <c r="A344" s="21">
        <v>4</v>
      </c>
      <c r="B344">
        <v>0.687</v>
      </c>
      <c r="C344">
        <v>0.707</v>
      </c>
      <c r="D344">
        <v>0.748</v>
      </c>
      <c r="E344">
        <v>0.792</v>
      </c>
      <c r="F344">
        <v>0.935</v>
      </c>
    </row>
    <row r="345" spans="1:6" ht="12.75" hidden="1">
      <c r="A345" s="21">
        <v>5</v>
      </c>
      <c r="B345">
        <v>0.686</v>
      </c>
      <c r="C345">
        <v>0.715</v>
      </c>
      <c r="D345">
        <v>0.762</v>
      </c>
      <c r="E345">
        <v>0.806</v>
      </c>
      <c r="F345">
        <v>0.927</v>
      </c>
    </row>
    <row r="346" spans="1:6" ht="12.75" hidden="1">
      <c r="A346" s="21">
        <v>6</v>
      </c>
      <c r="B346">
        <v>0.713</v>
      </c>
      <c r="C346">
        <v>0.743</v>
      </c>
      <c r="D346">
        <v>0.788</v>
      </c>
      <c r="E346">
        <v>0.826</v>
      </c>
      <c r="F346">
        <v>0.927</v>
      </c>
    </row>
    <row r="347" spans="1:6" ht="12.75" hidden="1">
      <c r="A347" s="21">
        <v>7</v>
      </c>
      <c r="B347">
        <v>0.73</v>
      </c>
      <c r="C347">
        <v>0.76</v>
      </c>
      <c r="D347">
        <v>0.803</v>
      </c>
      <c r="E347">
        <v>0.838</v>
      </c>
      <c r="F347">
        <v>0.928</v>
      </c>
    </row>
    <row r="348" spans="1:6" ht="12.75" hidden="1">
      <c r="A348" s="21">
        <v>8</v>
      </c>
      <c r="B348">
        <v>0.749</v>
      </c>
      <c r="C348">
        <v>0.778</v>
      </c>
      <c r="D348">
        <v>0.818</v>
      </c>
      <c r="E348">
        <v>0.851</v>
      </c>
      <c r="F348">
        <v>0.932</v>
      </c>
    </row>
    <row r="349" spans="1:6" ht="12.75" hidden="1">
      <c r="A349" s="21">
        <v>9</v>
      </c>
      <c r="B349">
        <v>0.764</v>
      </c>
      <c r="C349">
        <v>0.791</v>
      </c>
      <c r="D349">
        <v>0.829</v>
      </c>
      <c r="E349">
        <v>0.859</v>
      </c>
      <c r="F349">
        <v>0.935</v>
      </c>
    </row>
    <row r="350" spans="1:6" ht="12.75" hidden="1">
      <c r="A350" s="21">
        <v>10</v>
      </c>
      <c r="B350">
        <v>0.781</v>
      </c>
      <c r="C350">
        <v>0.806</v>
      </c>
      <c r="D350">
        <v>0.842</v>
      </c>
      <c r="E350">
        <v>0.869</v>
      </c>
      <c r="F350">
        <v>0.938</v>
      </c>
    </row>
    <row r="351" spans="1:6" ht="12.75" hidden="1">
      <c r="A351" s="21">
        <v>11</v>
      </c>
      <c r="B351">
        <v>0.792</v>
      </c>
      <c r="C351">
        <v>0.817</v>
      </c>
      <c r="D351">
        <v>0.85</v>
      </c>
      <c r="E351">
        <v>0.876</v>
      </c>
      <c r="F351">
        <v>0.94</v>
      </c>
    </row>
    <row r="352" spans="1:6" ht="12.75" hidden="1">
      <c r="A352" s="21">
        <v>12</v>
      </c>
      <c r="B352">
        <v>0.805</v>
      </c>
      <c r="C352">
        <v>0.828</v>
      </c>
      <c r="D352">
        <v>0.859</v>
      </c>
      <c r="E352">
        <v>0.883</v>
      </c>
      <c r="F352">
        <v>0.943</v>
      </c>
    </row>
    <row r="353" spans="1:6" ht="12.75" hidden="1">
      <c r="A353" s="21">
        <v>13</v>
      </c>
      <c r="B353">
        <v>0.814</v>
      </c>
      <c r="C353">
        <v>0.837</v>
      </c>
      <c r="D353">
        <v>0.866</v>
      </c>
      <c r="E353">
        <v>0.889</v>
      </c>
      <c r="F353">
        <v>0.945</v>
      </c>
    </row>
    <row r="354" spans="1:6" ht="12.75" hidden="1">
      <c r="A354" s="21">
        <v>14</v>
      </c>
      <c r="B354">
        <v>0.825</v>
      </c>
      <c r="C354">
        <v>0.846</v>
      </c>
      <c r="D354">
        <v>0.874</v>
      </c>
      <c r="E354">
        <v>0.895</v>
      </c>
      <c r="F354">
        <v>0.947</v>
      </c>
    </row>
    <row r="355" spans="1:6" ht="12.75" hidden="1">
      <c r="A355" s="21">
        <v>15</v>
      </c>
      <c r="B355">
        <v>0.835</v>
      </c>
      <c r="C355">
        <v>0.855</v>
      </c>
      <c r="D355">
        <v>0.881</v>
      </c>
      <c r="E355">
        <v>0.901</v>
      </c>
      <c r="F355">
        <v>0.95</v>
      </c>
    </row>
    <row r="356" spans="1:6" ht="12.75" hidden="1">
      <c r="A356" s="21">
        <v>16</v>
      </c>
      <c r="B356">
        <v>0.844</v>
      </c>
      <c r="C356">
        <v>0.863</v>
      </c>
      <c r="D356">
        <v>0.887</v>
      </c>
      <c r="E356">
        <v>0.906</v>
      </c>
      <c r="F356">
        <v>0.952</v>
      </c>
    </row>
    <row r="357" spans="1:6" ht="12.75" hidden="1">
      <c r="A357" s="21">
        <v>17</v>
      </c>
      <c r="B357">
        <v>0.851</v>
      </c>
      <c r="C357">
        <v>0.869</v>
      </c>
      <c r="D357">
        <v>0.892</v>
      </c>
      <c r="E357">
        <v>0.91</v>
      </c>
      <c r="F357">
        <v>0.954</v>
      </c>
    </row>
    <row r="358" spans="1:6" ht="12.75" hidden="1">
      <c r="A358" s="21">
        <v>18</v>
      </c>
      <c r="B358">
        <v>0.858</v>
      </c>
      <c r="C358">
        <v>0.874</v>
      </c>
      <c r="D358">
        <v>0.897</v>
      </c>
      <c r="E358">
        <v>0.914</v>
      </c>
      <c r="F358">
        <v>0.956</v>
      </c>
    </row>
    <row r="359" spans="1:6" ht="12.75" hidden="1">
      <c r="A359" s="21">
        <v>19</v>
      </c>
      <c r="B359">
        <v>0.863</v>
      </c>
      <c r="C359">
        <v>0.879</v>
      </c>
      <c r="D359">
        <v>0.901</v>
      </c>
      <c r="E359">
        <v>0.917</v>
      </c>
      <c r="F359">
        <v>0.957</v>
      </c>
    </row>
    <row r="360" spans="1:6" ht="12.75" hidden="1">
      <c r="A360" s="21">
        <v>20</v>
      </c>
      <c r="B360">
        <v>0.868</v>
      </c>
      <c r="C360">
        <v>0.884</v>
      </c>
      <c r="D360">
        <v>0.905</v>
      </c>
      <c r="E360">
        <v>0.92</v>
      </c>
      <c r="F360">
        <v>0.959</v>
      </c>
    </row>
    <row r="361" spans="1:6" ht="12.75" hidden="1">
      <c r="A361" s="21">
        <v>21</v>
      </c>
      <c r="B361">
        <v>0.873</v>
      </c>
      <c r="C361">
        <v>0.888</v>
      </c>
      <c r="D361">
        <v>0.908</v>
      </c>
      <c r="E361">
        <v>0.923</v>
      </c>
      <c r="F361">
        <v>0.96</v>
      </c>
    </row>
    <row r="362" spans="1:6" ht="12.75" hidden="1">
      <c r="A362" s="21">
        <v>22</v>
      </c>
      <c r="B362">
        <v>0.878</v>
      </c>
      <c r="C362">
        <v>0.892</v>
      </c>
      <c r="D362">
        <v>0.911</v>
      </c>
      <c r="E362">
        <v>0.926</v>
      </c>
      <c r="F362">
        <v>0.961</v>
      </c>
    </row>
    <row r="363" spans="1:6" ht="12.75" hidden="1">
      <c r="A363" s="21">
        <v>23</v>
      </c>
      <c r="B363">
        <v>0.881</v>
      </c>
      <c r="C363">
        <v>0.895</v>
      </c>
      <c r="D363">
        <v>0.914</v>
      </c>
      <c r="E363">
        <v>0.928</v>
      </c>
      <c r="F363">
        <v>0.962</v>
      </c>
    </row>
    <row r="364" spans="1:6" ht="12.75" hidden="1">
      <c r="A364" s="21">
        <v>24</v>
      </c>
      <c r="B364">
        <v>0.884</v>
      </c>
      <c r="C364">
        <v>0.898</v>
      </c>
      <c r="D364">
        <v>0.916</v>
      </c>
      <c r="E364">
        <v>0.93</v>
      </c>
      <c r="F364">
        <v>0.963</v>
      </c>
    </row>
    <row r="365" spans="1:6" ht="12.75" hidden="1">
      <c r="A365" s="21">
        <v>25</v>
      </c>
      <c r="B365">
        <v>0.886</v>
      </c>
      <c r="C365">
        <v>0.901</v>
      </c>
      <c r="D365">
        <v>0.918</v>
      </c>
      <c r="E365">
        <v>0.931</v>
      </c>
      <c r="F365">
        <v>0.964</v>
      </c>
    </row>
    <row r="366" spans="1:6" ht="12.75" hidden="1">
      <c r="A366" s="21">
        <v>26</v>
      </c>
      <c r="B366">
        <v>0.891</v>
      </c>
      <c r="C366">
        <v>0.904</v>
      </c>
      <c r="D366">
        <v>0.92</v>
      </c>
      <c r="E366">
        <v>0.933</v>
      </c>
      <c r="F366">
        <v>0.965</v>
      </c>
    </row>
    <row r="367" spans="1:6" ht="12.75" hidden="1">
      <c r="A367" s="21">
        <v>27</v>
      </c>
      <c r="B367">
        <v>0.894</v>
      </c>
      <c r="C367">
        <v>0.906</v>
      </c>
      <c r="D367">
        <v>0.923</v>
      </c>
      <c r="E367">
        <v>0.935</v>
      </c>
      <c r="F367">
        <v>0.965</v>
      </c>
    </row>
    <row r="368" spans="1:6" ht="12.75" hidden="1">
      <c r="A368" s="21">
        <v>28</v>
      </c>
      <c r="B368">
        <v>0.896</v>
      </c>
      <c r="C368">
        <v>0.908</v>
      </c>
      <c r="D368">
        <v>0.924</v>
      </c>
      <c r="E368">
        <v>0.936</v>
      </c>
      <c r="F368">
        <v>0.966</v>
      </c>
    </row>
    <row r="369" spans="1:6" ht="12.75" hidden="1">
      <c r="A369" s="21">
        <v>29</v>
      </c>
      <c r="B369">
        <v>0.898</v>
      </c>
      <c r="C369">
        <v>0.91</v>
      </c>
      <c r="D369">
        <v>0.926</v>
      </c>
      <c r="E369">
        <v>0.937</v>
      </c>
      <c r="F369">
        <v>0.966</v>
      </c>
    </row>
    <row r="370" spans="1:6" ht="12.75" hidden="1">
      <c r="A370" s="21">
        <v>30</v>
      </c>
      <c r="B370">
        <v>0.9</v>
      </c>
      <c r="C370">
        <v>0.912</v>
      </c>
      <c r="D370">
        <v>0.927</v>
      </c>
      <c r="E370">
        <v>0.939</v>
      </c>
      <c r="F370">
        <v>0.967</v>
      </c>
    </row>
    <row r="371" spans="1:6" ht="12.75" hidden="1">
      <c r="A371" s="21">
        <v>31</v>
      </c>
      <c r="B371">
        <v>0.902</v>
      </c>
      <c r="C371">
        <v>0.914</v>
      </c>
      <c r="D371">
        <v>0.929</v>
      </c>
      <c r="E371">
        <v>0.94</v>
      </c>
      <c r="F371">
        <v>0.967</v>
      </c>
    </row>
    <row r="372" spans="1:6" ht="12.75" hidden="1">
      <c r="A372" s="21">
        <v>32</v>
      </c>
      <c r="B372">
        <v>0.904</v>
      </c>
      <c r="C372">
        <v>0.915</v>
      </c>
      <c r="D372">
        <v>0.93</v>
      </c>
      <c r="E372">
        <v>0.941</v>
      </c>
      <c r="F372">
        <v>0.968</v>
      </c>
    </row>
    <row r="373" spans="1:6" ht="12.75" hidden="1">
      <c r="A373" s="21">
        <v>33</v>
      </c>
      <c r="B373">
        <v>0.906</v>
      </c>
      <c r="C373">
        <v>0.917</v>
      </c>
      <c r="D373">
        <v>0.931</v>
      </c>
      <c r="E373">
        <v>0.942</v>
      </c>
      <c r="F373">
        <v>0.968</v>
      </c>
    </row>
    <row r="374" spans="1:6" ht="12.75" hidden="1">
      <c r="A374" s="21">
        <v>34</v>
      </c>
      <c r="B374">
        <v>0.908</v>
      </c>
      <c r="C374">
        <v>0.919</v>
      </c>
      <c r="D374">
        <v>0.933</v>
      </c>
      <c r="E374">
        <v>0.943</v>
      </c>
      <c r="F374">
        <v>0.969</v>
      </c>
    </row>
    <row r="375" spans="1:6" ht="12.75" hidden="1">
      <c r="A375" s="21">
        <v>35</v>
      </c>
      <c r="B375">
        <v>0.91</v>
      </c>
      <c r="C375">
        <v>0.92</v>
      </c>
      <c r="D375">
        <v>0.934</v>
      </c>
      <c r="E375">
        <v>0.944</v>
      </c>
      <c r="F375">
        <v>0.969</v>
      </c>
    </row>
    <row r="376" spans="1:6" ht="12.75" hidden="1">
      <c r="A376" s="21">
        <v>36</v>
      </c>
      <c r="B376">
        <v>0.912</v>
      </c>
      <c r="C376">
        <v>0.922</v>
      </c>
      <c r="D376">
        <v>0.935</v>
      </c>
      <c r="E376">
        <v>0.945</v>
      </c>
      <c r="F376">
        <v>0.97</v>
      </c>
    </row>
    <row r="377" spans="1:6" ht="12.75" hidden="1">
      <c r="A377" s="21">
        <v>37</v>
      </c>
      <c r="B377">
        <v>0.914</v>
      </c>
      <c r="C377">
        <v>0.924</v>
      </c>
      <c r="D377">
        <v>0.936</v>
      </c>
      <c r="E377">
        <v>0.946</v>
      </c>
      <c r="F377">
        <v>0.97</v>
      </c>
    </row>
    <row r="378" spans="1:6" ht="12.75" hidden="1">
      <c r="A378" s="21">
        <v>38</v>
      </c>
      <c r="B378">
        <v>0.916</v>
      </c>
      <c r="C378">
        <v>0.925</v>
      </c>
      <c r="D378">
        <v>0.938</v>
      </c>
      <c r="E378">
        <v>0.947</v>
      </c>
      <c r="F378">
        <v>0.971</v>
      </c>
    </row>
    <row r="379" spans="1:6" ht="12.75" hidden="1">
      <c r="A379" s="21">
        <v>39</v>
      </c>
      <c r="B379">
        <v>0.917</v>
      </c>
      <c r="C379">
        <v>0.927</v>
      </c>
      <c r="D379">
        <v>0.939</v>
      </c>
      <c r="E379">
        <v>0.948</v>
      </c>
      <c r="F379">
        <v>0.971</v>
      </c>
    </row>
    <row r="380" spans="1:6" ht="12.75" hidden="1">
      <c r="A380" s="21">
        <v>40</v>
      </c>
      <c r="B380">
        <v>0.919</v>
      </c>
      <c r="C380">
        <v>0.928</v>
      </c>
      <c r="D380">
        <v>0.94</v>
      </c>
      <c r="E380">
        <v>0.949</v>
      </c>
      <c r="F380">
        <v>0.972</v>
      </c>
    </row>
    <row r="381" spans="1:6" ht="12.75" hidden="1">
      <c r="A381" s="21">
        <v>41</v>
      </c>
      <c r="B381">
        <v>0.92</v>
      </c>
      <c r="C381">
        <v>0.929</v>
      </c>
      <c r="D381">
        <v>0.941</v>
      </c>
      <c r="E381">
        <v>0.95</v>
      </c>
      <c r="F381">
        <v>0.972</v>
      </c>
    </row>
    <row r="382" spans="1:6" ht="12.75" hidden="1">
      <c r="A382" s="21">
        <v>42</v>
      </c>
      <c r="B382">
        <v>0.922</v>
      </c>
      <c r="C382">
        <v>0.93</v>
      </c>
      <c r="D382">
        <v>0.942</v>
      </c>
      <c r="E382">
        <v>0.951</v>
      </c>
      <c r="F382">
        <v>0.972</v>
      </c>
    </row>
    <row r="383" spans="1:6" ht="12.75" hidden="1">
      <c r="A383" s="21">
        <v>43</v>
      </c>
      <c r="B383">
        <v>0.923</v>
      </c>
      <c r="C383">
        <v>0.932</v>
      </c>
      <c r="D383">
        <v>0.943</v>
      </c>
      <c r="E383">
        <v>0.951</v>
      </c>
      <c r="F383">
        <v>0.973</v>
      </c>
    </row>
    <row r="384" spans="1:6" ht="12.75" hidden="1">
      <c r="A384" s="21">
        <v>44</v>
      </c>
      <c r="B384">
        <v>0.924</v>
      </c>
      <c r="C384">
        <v>0.933</v>
      </c>
      <c r="D384">
        <v>0.944</v>
      </c>
      <c r="E384">
        <v>0.952</v>
      </c>
      <c r="F384">
        <v>0.973</v>
      </c>
    </row>
    <row r="385" spans="1:6" ht="12.75" hidden="1">
      <c r="A385" s="21">
        <v>45</v>
      </c>
      <c r="B385">
        <v>0.926</v>
      </c>
      <c r="C385">
        <v>0.934</v>
      </c>
      <c r="D385">
        <v>0.945</v>
      </c>
      <c r="E385">
        <v>0.953</v>
      </c>
      <c r="F385">
        <v>0.973</v>
      </c>
    </row>
    <row r="386" spans="1:6" ht="12.75" hidden="1">
      <c r="A386" s="21">
        <v>46</v>
      </c>
      <c r="B386">
        <v>0.927</v>
      </c>
      <c r="C386">
        <v>0.935</v>
      </c>
      <c r="D386">
        <v>0.945</v>
      </c>
      <c r="E386">
        <v>0.953</v>
      </c>
      <c r="F386">
        <v>0.974</v>
      </c>
    </row>
    <row r="387" spans="1:6" ht="12.75" hidden="1">
      <c r="A387" s="21">
        <v>47</v>
      </c>
      <c r="B387">
        <v>0.928</v>
      </c>
      <c r="C387">
        <v>0.936</v>
      </c>
      <c r="D387">
        <v>0.946</v>
      </c>
      <c r="E387">
        <v>0.954</v>
      </c>
      <c r="F387">
        <v>0.974</v>
      </c>
    </row>
    <row r="388" spans="1:6" ht="12.75" hidden="1">
      <c r="A388" s="21">
        <v>48</v>
      </c>
      <c r="B388">
        <v>0.929</v>
      </c>
      <c r="C388">
        <v>0.937</v>
      </c>
      <c r="D388">
        <v>0.947</v>
      </c>
      <c r="E388">
        <v>0.954</v>
      </c>
      <c r="F388">
        <v>0.974</v>
      </c>
    </row>
    <row r="389" spans="1:6" ht="12.75" hidden="1">
      <c r="A389" s="21">
        <v>49</v>
      </c>
      <c r="B389">
        <v>0.929</v>
      </c>
      <c r="C389">
        <v>0.937</v>
      </c>
      <c r="D389">
        <v>0.947</v>
      </c>
      <c r="E389">
        <v>0.955</v>
      </c>
      <c r="F389">
        <v>0.974</v>
      </c>
    </row>
    <row r="390" spans="1:6" ht="12.75" hidden="1">
      <c r="A390" s="21">
        <v>50</v>
      </c>
      <c r="B390">
        <v>0.93</v>
      </c>
      <c r="C390">
        <v>0.938</v>
      </c>
      <c r="D390">
        <v>0.947</v>
      </c>
      <c r="E390">
        <v>0.955</v>
      </c>
      <c r="F390">
        <v>0.974</v>
      </c>
    </row>
    <row r="391" ht="12.75" hidden="1"/>
    <row r="392" ht="12.75" hidden="1"/>
    <row r="393" ht="12.75" hidden="1"/>
    <row r="394" ht="12.75" hidden="1"/>
    <row r="395" ht="12.75" hidden="1"/>
    <row r="396" ht="12.75" hidden="1">
      <c r="A396" s="21" t="s">
        <v>214</v>
      </c>
    </row>
    <row r="397" ht="12.75" hidden="1"/>
    <row r="398" spans="1:2" ht="12.75" hidden="1">
      <c r="A398" s="21" t="s">
        <v>215</v>
      </c>
      <c r="B398">
        <f>(T12^2)*(T5-1)</f>
        <v>18.14400000000003</v>
      </c>
    </row>
    <row r="399" spans="1:3" ht="12.75" hidden="1">
      <c r="A399" s="21" t="s">
        <v>216</v>
      </c>
      <c r="B399">
        <f>INT(T5/2)</f>
        <v>7</v>
      </c>
      <c r="C399" s="4" t="s">
        <v>217</v>
      </c>
    </row>
    <row r="400" spans="1:4" ht="12.75" hidden="1">
      <c r="A400" s="21" t="s">
        <v>218</v>
      </c>
      <c r="B400">
        <f>(E455^2)/B398</f>
        <v>0.9039017894400342</v>
      </c>
      <c r="C400" s="4">
        <f>HLOOKUP(0.05,A341:F390,T5)</f>
        <v>0.881</v>
      </c>
      <c r="D400" s="4" t="str">
        <f>IF(B400&lt;C400,"No","Yes")</f>
        <v>Yes</v>
      </c>
    </row>
    <row r="401" spans="1:4" ht="12.75" hidden="1">
      <c r="A401" s="21" t="s">
        <v>219</v>
      </c>
      <c r="B401">
        <f>(H455^2)/((T14^2)*(T5-1))</f>
        <v>0.9741245432316519</v>
      </c>
      <c r="C401" s="4">
        <f>C400</f>
        <v>0.881</v>
      </c>
      <c r="D401" s="4" t="str">
        <f>IF(B401&lt;C401,"No","Yes")</f>
        <v>Yes</v>
      </c>
    </row>
    <row r="402" ht="12.75" hidden="1"/>
    <row r="403" spans="1:8" ht="12.75" hidden="1">
      <c r="A403" s="21" t="s">
        <v>146</v>
      </c>
      <c r="B403" t="s">
        <v>220</v>
      </c>
      <c r="C403" s="4" t="s">
        <v>221</v>
      </c>
      <c r="D403" s="4" t="s">
        <v>222</v>
      </c>
      <c r="E403" s="4" t="s">
        <v>223</v>
      </c>
      <c r="F403" s="4" t="s">
        <v>224</v>
      </c>
      <c r="G403" s="4" t="s">
        <v>225</v>
      </c>
      <c r="H403" s="4" t="s">
        <v>226</v>
      </c>
    </row>
    <row r="404" spans="1:8" ht="12.75" hidden="1">
      <c r="A404" s="21">
        <f>1</f>
        <v>1</v>
      </c>
      <c r="B404">
        <f aca="true" t="shared" si="44" ref="B404:B435">VLOOKUP(A404,$A$311:$AX$336,$T$5)</f>
        <v>0.515</v>
      </c>
      <c r="C404" s="4">
        <f aca="true" t="shared" si="45" ref="C404:C435">IF(A404&lt;$B$399+1,LARGE($A$11:$A$61,A404),NA())</f>
        <v>5.5</v>
      </c>
      <c r="D404" s="4">
        <f aca="true" t="shared" si="46" ref="D404:D435">IF(A404&lt;$B$399+1,SMALL($A$11:$A$61,A404),NA())</f>
        <v>1.2</v>
      </c>
      <c r="E404" s="4">
        <f aca="true" t="shared" si="47" ref="E404:E435">IF(A404=FALSE,FALSE(),B404*(C404-D404))</f>
        <v>2.2145</v>
      </c>
      <c r="F404" s="4">
        <f aca="true" t="shared" si="48" ref="F404:G423">LN(C404)</f>
        <v>1.7047480922384253</v>
      </c>
      <c r="G404" s="4">
        <f t="shared" si="48"/>
        <v>0.1823215567939546</v>
      </c>
      <c r="H404" s="4">
        <f aca="true" t="shared" si="49" ref="H404:H435">IF(A404=FALSE,FALSE(),B404*(F404-G404))</f>
        <v>0.7840496657539023</v>
      </c>
    </row>
    <row r="405" spans="1:8" ht="12.75" hidden="1">
      <c r="A405" s="21">
        <f aca="true" t="shared" si="50" ref="A405:A436">IF(A404&lt;$B$399,A404+1,FALSE())</f>
        <v>2</v>
      </c>
      <c r="B405">
        <f t="shared" si="44"/>
        <v>0.3306</v>
      </c>
      <c r="C405" s="4">
        <f t="shared" si="45"/>
        <v>4.5</v>
      </c>
      <c r="D405" s="4">
        <f t="shared" si="46"/>
        <v>1.3</v>
      </c>
      <c r="E405" s="4">
        <f t="shared" si="47"/>
        <v>1.05792</v>
      </c>
      <c r="F405" s="4">
        <f t="shared" si="48"/>
        <v>1.5040773967762742</v>
      </c>
      <c r="G405" s="4">
        <f t="shared" si="48"/>
        <v>0.26236426446749106</v>
      </c>
      <c r="H405" s="4">
        <f t="shared" si="49"/>
        <v>0.4105103615412837</v>
      </c>
    </row>
    <row r="406" spans="1:8" ht="12.75" hidden="1">
      <c r="A406" s="21">
        <f t="shared" si="50"/>
        <v>3</v>
      </c>
      <c r="B406">
        <f t="shared" si="44"/>
        <v>0.2495</v>
      </c>
      <c r="C406" s="4">
        <f t="shared" si="45"/>
        <v>3.5</v>
      </c>
      <c r="D406" s="4">
        <f t="shared" si="46"/>
        <v>1.8</v>
      </c>
      <c r="E406" s="4">
        <f t="shared" si="47"/>
        <v>0.42414999999999997</v>
      </c>
      <c r="F406" s="4">
        <f t="shared" si="48"/>
        <v>1.252762968495368</v>
      </c>
      <c r="G406" s="4">
        <f t="shared" si="48"/>
        <v>0.5877866649021191</v>
      </c>
      <c r="H406" s="4">
        <f t="shared" si="49"/>
        <v>0.16591158774651563</v>
      </c>
    </row>
    <row r="407" spans="1:8" ht="12.75" hidden="1">
      <c r="A407" s="21">
        <f t="shared" si="50"/>
        <v>4</v>
      </c>
      <c r="B407">
        <f t="shared" si="44"/>
        <v>0.1878</v>
      </c>
      <c r="C407" s="4">
        <f t="shared" si="45"/>
        <v>3</v>
      </c>
      <c r="D407" s="4">
        <f t="shared" si="46"/>
        <v>2</v>
      </c>
      <c r="E407" s="4">
        <f t="shared" si="47"/>
        <v>0.1878</v>
      </c>
      <c r="F407" s="4">
        <f t="shared" si="48"/>
        <v>1.0986122886681098</v>
      </c>
      <c r="G407" s="4">
        <f t="shared" si="48"/>
        <v>0.6931471805599453</v>
      </c>
      <c r="H407" s="4">
        <f t="shared" si="49"/>
        <v>0.07614634730271329</v>
      </c>
    </row>
    <row r="408" spans="1:8" ht="12.75" hidden="1">
      <c r="A408" s="21">
        <f t="shared" si="50"/>
        <v>5</v>
      </c>
      <c r="B408">
        <f t="shared" si="44"/>
        <v>0.1353</v>
      </c>
      <c r="C408" s="4">
        <f t="shared" si="45"/>
        <v>2.9</v>
      </c>
      <c r="D408" s="4">
        <f t="shared" si="46"/>
        <v>2.1</v>
      </c>
      <c r="E408" s="4">
        <f t="shared" si="47"/>
        <v>0.10823999999999998</v>
      </c>
      <c r="F408" s="4">
        <f t="shared" si="48"/>
        <v>1.0647107369924282</v>
      </c>
      <c r="G408" s="4">
        <f t="shared" si="48"/>
        <v>0.7419373447293773</v>
      </c>
      <c r="H408" s="4">
        <f t="shared" si="49"/>
        <v>0.043671239973190785</v>
      </c>
    </row>
    <row r="409" spans="1:8" ht="12.75" hidden="1">
      <c r="A409" s="21">
        <f t="shared" si="50"/>
        <v>6</v>
      </c>
      <c r="B409">
        <f t="shared" si="44"/>
        <v>0.088</v>
      </c>
      <c r="C409" s="4">
        <f t="shared" si="45"/>
        <v>2.8</v>
      </c>
      <c r="D409" s="4">
        <f t="shared" si="46"/>
        <v>2.2</v>
      </c>
      <c r="E409" s="4">
        <f t="shared" si="47"/>
        <v>0.052799999999999965</v>
      </c>
      <c r="F409" s="4">
        <f t="shared" si="48"/>
        <v>1.0296194171811581</v>
      </c>
      <c r="G409" s="4">
        <f t="shared" si="48"/>
        <v>0.7884573603642703</v>
      </c>
      <c r="H409" s="4">
        <f t="shared" si="49"/>
        <v>0.02122226099988613</v>
      </c>
    </row>
    <row r="410" spans="1:8" ht="12.75" hidden="1">
      <c r="A410" s="21">
        <f t="shared" si="50"/>
        <v>7</v>
      </c>
      <c r="B410">
        <f t="shared" si="44"/>
        <v>0.0433</v>
      </c>
      <c r="C410" s="4">
        <f t="shared" si="45"/>
        <v>2.5</v>
      </c>
      <c r="D410" s="4">
        <f t="shared" si="46"/>
        <v>2.4</v>
      </c>
      <c r="E410" s="4">
        <f t="shared" si="47"/>
        <v>0.004330000000000004</v>
      </c>
      <c r="F410" s="4">
        <f t="shared" si="48"/>
        <v>0.9162907318741551</v>
      </c>
      <c r="G410" s="4">
        <f t="shared" si="48"/>
        <v>0.8754687373538999</v>
      </c>
      <c r="H410" s="4">
        <f t="shared" si="49"/>
        <v>0.0017675923627270525</v>
      </c>
    </row>
    <row r="411" spans="1:8" ht="12.75" hidden="1">
      <c r="A411" s="21" t="b">
        <f t="shared" si="50"/>
        <v>0</v>
      </c>
      <c r="B411" t="e">
        <f t="shared" si="44"/>
        <v>#N/A</v>
      </c>
      <c r="C411" s="4" t="e">
        <f t="shared" si="45"/>
        <v>#N/A</v>
      </c>
      <c r="D411" s="4" t="e">
        <f t="shared" si="46"/>
        <v>#N/A</v>
      </c>
      <c r="E411" s="4" t="b">
        <f t="shared" si="47"/>
        <v>0</v>
      </c>
      <c r="F411" s="4" t="e">
        <f t="shared" si="48"/>
        <v>#N/A</v>
      </c>
      <c r="G411" s="4" t="e">
        <f t="shared" si="48"/>
        <v>#N/A</v>
      </c>
      <c r="H411" s="4" t="b">
        <f t="shared" si="49"/>
        <v>0</v>
      </c>
    </row>
    <row r="412" spans="1:8" ht="12.75" hidden="1">
      <c r="A412" s="21" t="b">
        <f t="shared" si="50"/>
        <v>0</v>
      </c>
      <c r="B412" t="e">
        <f t="shared" si="44"/>
        <v>#N/A</v>
      </c>
      <c r="C412" s="4" t="e">
        <f t="shared" si="45"/>
        <v>#N/A</v>
      </c>
      <c r="D412" s="4" t="e">
        <f t="shared" si="46"/>
        <v>#N/A</v>
      </c>
      <c r="E412" s="4" t="b">
        <f t="shared" si="47"/>
        <v>0</v>
      </c>
      <c r="F412" s="4" t="e">
        <f t="shared" si="48"/>
        <v>#N/A</v>
      </c>
      <c r="G412" s="4" t="e">
        <f t="shared" si="48"/>
        <v>#N/A</v>
      </c>
      <c r="H412" s="4" t="b">
        <f t="shared" si="49"/>
        <v>0</v>
      </c>
    </row>
    <row r="413" spans="1:8" ht="12.75" hidden="1">
      <c r="A413" s="21" t="b">
        <f t="shared" si="50"/>
        <v>0</v>
      </c>
      <c r="B413" t="e">
        <f t="shared" si="44"/>
        <v>#N/A</v>
      </c>
      <c r="C413" s="4" t="e">
        <f t="shared" si="45"/>
        <v>#N/A</v>
      </c>
      <c r="D413" s="4" t="e">
        <f t="shared" si="46"/>
        <v>#N/A</v>
      </c>
      <c r="E413" s="4" t="b">
        <f t="shared" si="47"/>
        <v>0</v>
      </c>
      <c r="F413" s="4" t="e">
        <f t="shared" si="48"/>
        <v>#N/A</v>
      </c>
      <c r="G413" s="4" t="e">
        <f t="shared" si="48"/>
        <v>#N/A</v>
      </c>
      <c r="H413" s="4" t="b">
        <f t="shared" si="49"/>
        <v>0</v>
      </c>
    </row>
    <row r="414" spans="1:8" ht="12.75" hidden="1">
      <c r="A414" s="21" t="b">
        <f t="shared" si="50"/>
        <v>0</v>
      </c>
      <c r="B414" t="e">
        <f t="shared" si="44"/>
        <v>#N/A</v>
      </c>
      <c r="C414" s="4" t="e">
        <f t="shared" si="45"/>
        <v>#N/A</v>
      </c>
      <c r="D414" s="4" t="e">
        <f t="shared" si="46"/>
        <v>#N/A</v>
      </c>
      <c r="E414" s="4" t="b">
        <f t="shared" si="47"/>
        <v>0</v>
      </c>
      <c r="F414" s="4" t="e">
        <f t="shared" si="48"/>
        <v>#N/A</v>
      </c>
      <c r="G414" s="4" t="e">
        <f t="shared" si="48"/>
        <v>#N/A</v>
      </c>
      <c r="H414" s="4" t="b">
        <f t="shared" si="49"/>
        <v>0</v>
      </c>
    </row>
    <row r="415" spans="1:8" ht="12.75" hidden="1">
      <c r="A415" s="21" t="b">
        <f t="shared" si="50"/>
        <v>0</v>
      </c>
      <c r="B415" t="e">
        <f t="shared" si="44"/>
        <v>#N/A</v>
      </c>
      <c r="C415" s="4" t="e">
        <f t="shared" si="45"/>
        <v>#N/A</v>
      </c>
      <c r="D415" s="4" t="e">
        <f t="shared" si="46"/>
        <v>#N/A</v>
      </c>
      <c r="E415" s="4" t="b">
        <f t="shared" si="47"/>
        <v>0</v>
      </c>
      <c r="F415" s="4" t="e">
        <f t="shared" si="48"/>
        <v>#N/A</v>
      </c>
      <c r="G415" s="4" t="e">
        <f t="shared" si="48"/>
        <v>#N/A</v>
      </c>
      <c r="H415" s="4" t="b">
        <f t="shared" si="49"/>
        <v>0</v>
      </c>
    </row>
    <row r="416" spans="1:8" ht="12.75" hidden="1">
      <c r="A416" s="21" t="b">
        <f t="shared" si="50"/>
        <v>0</v>
      </c>
      <c r="B416" t="e">
        <f t="shared" si="44"/>
        <v>#N/A</v>
      </c>
      <c r="C416" s="4" t="e">
        <f t="shared" si="45"/>
        <v>#N/A</v>
      </c>
      <c r="D416" s="4" t="e">
        <f t="shared" si="46"/>
        <v>#N/A</v>
      </c>
      <c r="E416" s="4" t="b">
        <f t="shared" si="47"/>
        <v>0</v>
      </c>
      <c r="F416" s="4" t="e">
        <f t="shared" si="48"/>
        <v>#N/A</v>
      </c>
      <c r="G416" s="4" t="e">
        <f t="shared" si="48"/>
        <v>#N/A</v>
      </c>
      <c r="H416" s="4" t="b">
        <f t="shared" si="49"/>
        <v>0</v>
      </c>
    </row>
    <row r="417" spans="1:8" ht="12.75" hidden="1">
      <c r="A417" s="21" t="b">
        <f t="shared" si="50"/>
        <v>0</v>
      </c>
      <c r="B417" t="e">
        <f t="shared" si="44"/>
        <v>#N/A</v>
      </c>
      <c r="C417" s="4" t="e">
        <f t="shared" si="45"/>
        <v>#N/A</v>
      </c>
      <c r="D417" s="4" t="e">
        <f t="shared" si="46"/>
        <v>#N/A</v>
      </c>
      <c r="E417" s="4" t="b">
        <f t="shared" si="47"/>
        <v>0</v>
      </c>
      <c r="F417" s="4" t="e">
        <f t="shared" si="48"/>
        <v>#N/A</v>
      </c>
      <c r="G417" s="4" t="e">
        <f t="shared" si="48"/>
        <v>#N/A</v>
      </c>
      <c r="H417" s="4" t="b">
        <f t="shared" si="49"/>
        <v>0</v>
      </c>
    </row>
    <row r="418" spans="1:8" ht="12.75" hidden="1">
      <c r="A418" s="21" t="b">
        <f t="shared" si="50"/>
        <v>0</v>
      </c>
      <c r="B418" t="e">
        <f t="shared" si="44"/>
        <v>#N/A</v>
      </c>
      <c r="C418" s="4" t="e">
        <f t="shared" si="45"/>
        <v>#N/A</v>
      </c>
      <c r="D418" s="4" t="e">
        <f t="shared" si="46"/>
        <v>#N/A</v>
      </c>
      <c r="E418" s="4" t="b">
        <f t="shared" si="47"/>
        <v>0</v>
      </c>
      <c r="F418" s="4" t="e">
        <f t="shared" si="48"/>
        <v>#N/A</v>
      </c>
      <c r="G418" s="4" t="e">
        <f t="shared" si="48"/>
        <v>#N/A</v>
      </c>
      <c r="H418" s="4" t="b">
        <f t="shared" si="49"/>
        <v>0</v>
      </c>
    </row>
    <row r="419" spans="1:8" ht="12.75" hidden="1">
      <c r="A419" s="21" t="b">
        <f t="shared" si="50"/>
        <v>0</v>
      </c>
      <c r="B419" t="e">
        <f t="shared" si="44"/>
        <v>#N/A</v>
      </c>
      <c r="C419" s="4" t="e">
        <f t="shared" si="45"/>
        <v>#N/A</v>
      </c>
      <c r="D419" s="4" t="e">
        <f t="shared" si="46"/>
        <v>#N/A</v>
      </c>
      <c r="E419" s="4" t="b">
        <f t="shared" si="47"/>
        <v>0</v>
      </c>
      <c r="F419" s="4" t="e">
        <f t="shared" si="48"/>
        <v>#N/A</v>
      </c>
      <c r="G419" s="4" t="e">
        <f t="shared" si="48"/>
        <v>#N/A</v>
      </c>
      <c r="H419" s="4" t="b">
        <f t="shared" si="49"/>
        <v>0</v>
      </c>
    </row>
    <row r="420" spans="1:8" ht="12.75" hidden="1">
      <c r="A420" s="21" t="b">
        <f t="shared" si="50"/>
        <v>0</v>
      </c>
      <c r="B420" t="e">
        <f t="shared" si="44"/>
        <v>#N/A</v>
      </c>
      <c r="C420" s="4" t="e">
        <f t="shared" si="45"/>
        <v>#N/A</v>
      </c>
      <c r="D420" s="4" t="e">
        <f t="shared" si="46"/>
        <v>#N/A</v>
      </c>
      <c r="E420" s="4" t="b">
        <f t="shared" si="47"/>
        <v>0</v>
      </c>
      <c r="F420" s="4" t="e">
        <f t="shared" si="48"/>
        <v>#N/A</v>
      </c>
      <c r="G420" s="4" t="e">
        <f t="shared" si="48"/>
        <v>#N/A</v>
      </c>
      <c r="H420" s="4" t="b">
        <f t="shared" si="49"/>
        <v>0</v>
      </c>
    </row>
    <row r="421" spans="1:8" ht="12.75" hidden="1">
      <c r="A421" s="21" t="b">
        <f t="shared" si="50"/>
        <v>0</v>
      </c>
      <c r="B421" t="e">
        <f t="shared" si="44"/>
        <v>#N/A</v>
      </c>
      <c r="C421" s="4" t="e">
        <f t="shared" si="45"/>
        <v>#N/A</v>
      </c>
      <c r="D421" s="4" t="e">
        <f t="shared" si="46"/>
        <v>#N/A</v>
      </c>
      <c r="E421" s="4" t="b">
        <f t="shared" si="47"/>
        <v>0</v>
      </c>
      <c r="F421" s="4" t="e">
        <f t="shared" si="48"/>
        <v>#N/A</v>
      </c>
      <c r="G421" s="4" t="e">
        <f t="shared" si="48"/>
        <v>#N/A</v>
      </c>
      <c r="H421" s="4" t="b">
        <f t="shared" si="49"/>
        <v>0</v>
      </c>
    </row>
    <row r="422" spans="1:8" ht="12.75" hidden="1">
      <c r="A422" s="21" t="b">
        <f t="shared" si="50"/>
        <v>0</v>
      </c>
      <c r="B422" t="e">
        <f t="shared" si="44"/>
        <v>#N/A</v>
      </c>
      <c r="C422" s="4" t="e">
        <f t="shared" si="45"/>
        <v>#N/A</v>
      </c>
      <c r="D422" s="4" t="e">
        <f t="shared" si="46"/>
        <v>#N/A</v>
      </c>
      <c r="E422" s="4" t="b">
        <f t="shared" si="47"/>
        <v>0</v>
      </c>
      <c r="F422" s="4" t="e">
        <f t="shared" si="48"/>
        <v>#N/A</v>
      </c>
      <c r="G422" s="4" t="e">
        <f t="shared" si="48"/>
        <v>#N/A</v>
      </c>
      <c r="H422" s="4" t="b">
        <f t="shared" si="49"/>
        <v>0</v>
      </c>
    </row>
    <row r="423" spans="1:8" ht="12.75" hidden="1">
      <c r="A423" s="21" t="b">
        <f t="shared" si="50"/>
        <v>0</v>
      </c>
      <c r="B423" t="e">
        <f t="shared" si="44"/>
        <v>#N/A</v>
      </c>
      <c r="C423" s="4" t="e">
        <f t="shared" si="45"/>
        <v>#N/A</v>
      </c>
      <c r="D423" s="4" t="e">
        <f t="shared" si="46"/>
        <v>#N/A</v>
      </c>
      <c r="E423" s="4" t="b">
        <f t="shared" si="47"/>
        <v>0</v>
      </c>
      <c r="F423" s="4" t="e">
        <f t="shared" si="48"/>
        <v>#N/A</v>
      </c>
      <c r="G423" s="4" t="e">
        <f t="shared" si="48"/>
        <v>#N/A</v>
      </c>
      <c r="H423" s="4" t="b">
        <f t="shared" si="49"/>
        <v>0</v>
      </c>
    </row>
    <row r="424" spans="1:8" ht="12.75" hidden="1">
      <c r="A424" s="21" t="b">
        <f t="shared" si="50"/>
        <v>0</v>
      </c>
      <c r="B424" t="e">
        <f t="shared" si="44"/>
        <v>#N/A</v>
      </c>
      <c r="C424" s="4" t="e">
        <f t="shared" si="45"/>
        <v>#N/A</v>
      </c>
      <c r="D424" s="4" t="e">
        <f t="shared" si="46"/>
        <v>#N/A</v>
      </c>
      <c r="E424" s="4" t="b">
        <f t="shared" si="47"/>
        <v>0</v>
      </c>
      <c r="F424" s="4" t="e">
        <f aca="true" t="shared" si="51" ref="F424:G443">LN(C424)</f>
        <v>#N/A</v>
      </c>
      <c r="G424" s="4" t="e">
        <f t="shared" si="51"/>
        <v>#N/A</v>
      </c>
      <c r="H424" s="4" t="b">
        <f t="shared" si="49"/>
        <v>0</v>
      </c>
    </row>
    <row r="425" spans="1:8" ht="12.75" hidden="1">
      <c r="A425" s="21" t="b">
        <f t="shared" si="50"/>
        <v>0</v>
      </c>
      <c r="B425" t="e">
        <f t="shared" si="44"/>
        <v>#N/A</v>
      </c>
      <c r="C425" s="4" t="e">
        <f t="shared" si="45"/>
        <v>#N/A</v>
      </c>
      <c r="D425" s="4" t="e">
        <f t="shared" si="46"/>
        <v>#N/A</v>
      </c>
      <c r="E425" s="4" t="b">
        <f t="shared" si="47"/>
        <v>0</v>
      </c>
      <c r="F425" s="4" t="e">
        <f t="shared" si="51"/>
        <v>#N/A</v>
      </c>
      <c r="G425" s="4" t="e">
        <f t="shared" si="51"/>
        <v>#N/A</v>
      </c>
      <c r="H425" s="4" t="b">
        <f t="shared" si="49"/>
        <v>0</v>
      </c>
    </row>
    <row r="426" spans="1:8" ht="12.75" hidden="1">
      <c r="A426" s="21" t="b">
        <f t="shared" si="50"/>
        <v>0</v>
      </c>
      <c r="B426" t="e">
        <f t="shared" si="44"/>
        <v>#N/A</v>
      </c>
      <c r="C426" s="4" t="e">
        <f t="shared" si="45"/>
        <v>#N/A</v>
      </c>
      <c r="D426" s="4" t="e">
        <f t="shared" si="46"/>
        <v>#N/A</v>
      </c>
      <c r="E426" s="4" t="b">
        <f t="shared" si="47"/>
        <v>0</v>
      </c>
      <c r="F426" s="4" t="e">
        <f t="shared" si="51"/>
        <v>#N/A</v>
      </c>
      <c r="G426" s="4" t="e">
        <f t="shared" si="51"/>
        <v>#N/A</v>
      </c>
      <c r="H426" s="4" t="b">
        <f t="shared" si="49"/>
        <v>0</v>
      </c>
    </row>
    <row r="427" spans="1:8" ht="12.75" hidden="1">
      <c r="A427" s="21" t="b">
        <f t="shared" si="50"/>
        <v>0</v>
      </c>
      <c r="B427" t="e">
        <f t="shared" si="44"/>
        <v>#N/A</v>
      </c>
      <c r="C427" s="4" t="e">
        <f t="shared" si="45"/>
        <v>#N/A</v>
      </c>
      <c r="D427" s="4" t="e">
        <f t="shared" si="46"/>
        <v>#N/A</v>
      </c>
      <c r="E427" s="4" t="b">
        <f t="shared" si="47"/>
        <v>0</v>
      </c>
      <c r="F427" s="4" t="e">
        <f t="shared" si="51"/>
        <v>#N/A</v>
      </c>
      <c r="G427" s="4" t="e">
        <f t="shared" si="51"/>
        <v>#N/A</v>
      </c>
      <c r="H427" s="4" t="b">
        <f t="shared" si="49"/>
        <v>0</v>
      </c>
    </row>
    <row r="428" spans="1:8" ht="12.75" hidden="1">
      <c r="A428" s="21" t="b">
        <f t="shared" si="50"/>
        <v>0</v>
      </c>
      <c r="B428" t="e">
        <f t="shared" si="44"/>
        <v>#N/A</v>
      </c>
      <c r="C428" s="4" t="e">
        <f t="shared" si="45"/>
        <v>#N/A</v>
      </c>
      <c r="D428" s="4" t="e">
        <f t="shared" si="46"/>
        <v>#N/A</v>
      </c>
      <c r="E428" s="4" t="b">
        <f t="shared" si="47"/>
        <v>0</v>
      </c>
      <c r="F428" s="4" t="e">
        <f t="shared" si="51"/>
        <v>#N/A</v>
      </c>
      <c r="G428" s="4" t="e">
        <f t="shared" si="51"/>
        <v>#N/A</v>
      </c>
      <c r="H428" s="4" t="b">
        <f t="shared" si="49"/>
        <v>0</v>
      </c>
    </row>
    <row r="429" spans="1:8" ht="12.75" hidden="1">
      <c r="A429" s="21" t="b">
        <f t="shared" si="50"/>
        <v>0</v>
      </c>
      <c r="B429" t="e">
        <f t="shared" si="44"/>
        <v>#N/A</v>
      </c>
      <c r="C429" s="4" t="e">
        <f t="shared" si="45"/>
        <v>#N/A</v>
      </c>
      <c r="D429" s="4" t="e">
        <f t="shared" si="46"/>
        <v>#N/A</v>
      </c>
      <c r="E429" s="4" t="b">
        <f t="shared" si="47"/>
        <v>0</v>
      </c>
      <c r="F429" s="4" t="e">
        <f t="shared" si="51"/>
        <v>#N/A</v>
      </c>
      <c r="G429" s="4" t="e">
        <f t="shared" si="51"/>
        <v>#N/A</v>
      </c>
      <c r="H429" s="4" t="b">
        <f t="shared" si="49"/>
        <v>0</v>
      </c>
    </row>
    <row r="430" spans="1:8" ht="12.75" hidden="1">
      <c r="A430" s="21" t="b">
        <f t="shared" si="50"/>
        <v>0</v>
      </c>
      <c r="B430" t="e">
        <f t="shared" si="44"/>
        <v>#N/A</v>
      </c>
      <c r="C430" s="4" t="e">
        <f t="shared" si="45"/>
        <v>#N/A</v>
      </c>
      <c r="D430" s="4" t="e">
        <f t="shared" si="46"/>
        <v>#N/A</v>
      </c>
      <c r="E430" s="4" t="b">
        <f t="shared" si="47"/>
        <v>0</v>
      </c>
      <c r="F430" s="4" t="e">
        <f t="shared" si="51"/>
        <v>#N/A</v>
      </c>
      <c r="G430" s="4" t="e">
        <f t="shared" si="51"/>
        <v>#N/A</v>
      </c>
      <c r="H430" s="4" t="b">
        <f t="shared" si="49"/>
        <v>0</v>
      </c>
    </row>
    <row r="431" spans="1:8" ht="12.75" hidden="1">
      <c r="A431" s="21" t="b">
        <f t="shared" si="50"/>
        <v>0</v>
      </c>
      <c r="B431" t="e">
        <f t="shared" si="44"/>
        <v>#N/A</v>
      </c>
      <c r="C431" s="4" t="e">
        <f t="shared" si="45"/>
        <v>#N/A</v>
      </c>
      <c r="D431" s="4" t="e">
        <f t="shared" si="46"/>
        <v>#N/A</v>
      </c>
      <c r="E431" s="4" t="b">
        <f t="shared" si="47"/>
        <v>0</v>
      </c>
      <c r="F431" s="4" t="e">
        <f t="shared" si="51"/>
        <v>#N/A</v>
      </c>
      <c r="G431" s="4" t="e">
        <f t="shared" si="51"/>
        <v>#N/A</v>
      </c>
      <c r="H431" s="4" t="b">
        <f t="shared" si="49"/>
        <v>0</v>
      </c>
    </row>
    <row r="432" spans="1:8" ht="12.75" hidden="1">
      <c r="A432" s="21" t="b">
        <f t="shared" si="50"/>
        <v>0</v>
      </c>
      <c r="B432" t="e">
        <f t="shared" si="44"/>
        <v>#N/A</v>
      </c>
      <c r="C432" s="4" t="e">
        <f t="shared" si="45"/>
        <v>#N/A</v>
      </c>
      <c r="D432" s="4" t="e">
        <f t="shared" si="46"/>
        <v>#N/A</v>
      </c>
      <c r="E432" s="4" t="b">
        <f t="shared" si="47"/>
        <v>0</v>
      </c>
      <c r="F432" s="4" t="e">
        <f t="shared" si="51"/>
        <v>#N/A</v>
      </c>
      <c r="G432" s="4" t="e">
        <f t="shared" si="51"/>
        <v>#N/A</v>
      </c>
      <c r="H432" s="4" t="b">
        <f t="shared" si="49"/>
        <v>0</v>
      </c>
    </row>
    <row r="433" spans="1:8" ht="12.75" hidden="1">
      <c r="A433" s="21" t="b">
        <f t="shared" si="50"/>
        <v>0</v>
      </c>
      <c r="B433" t="e">
        <f t="shared" si="44"/>
        <v>#N/A</v>
      </c>
      <c r="C433" s="4" t="e">
        <f t="shared" si="45"/>
        <v>#N/A</v>
      </c>
      <c r="D433" s="4" t="e">
        <f t="shared" si="46"/>
        <v>#N/A</v>
      </c>
      <c r="E433" s="4" t="b">
        <f t="shared" si="47"/>
        <v>0</v>
      </c>
      <c r="F433" s="4" t="e">
        <f t="shared" si="51"/>
        <v>#N/A</v>
      </c>
      <c r="G433" s="4" t="e">
        <f t="shared" si="51"/>
        <v>#N/A</v>
      </c>
      <c r="H433" s="4" t="b">
        <f t="shared" si="49"/>
        <v>0</v>
      </c>
    </row>
    <row r="434" spans="1:8" ht="12.75" hidden="1">
      <c r="A434" s="21" t="b">
        <f t="shared" si="50"/>
        <v>0</v>
      </c>
      <c r="B434" t="e">
        <f t="shared" si="44"/>
        <v>#N/A</v>
      </c>
      <c r="C434" s="4" t="e">
        <f t="shared" si="45"/>
        <v>#N/A</v>
      </c>
      <c r="D434" s="4" t="e">
        <f t="shared" si="46"/>
        <v>#N/A</v>
      </c>
      <c r="E434" s="4" t="b">
        <f t="shared" si="47"/>
        <v>0</v>
      </c>
      <c r="F434" s="4" t="e">
        <f t="shared" si="51"/>
        <v>#N/A</v>
      </c>
      <c r="G434" s="4" t="e">
        <f t="shared" si="51"/>
        <v>#N/A</v>
      </c>
      <c r="H434" s="4" t="b">
        <f t="shared" si="49"/>
        <v>0</v>
      </c>
    </row>
    <row r="435" spans="1:8" ht="12.75" hidden="1">
      <c r="A435" s="21" t="b">
        <f t="shared" si="50"/>
        <v>0</v>
      </c>
      <c r="B435" t="e">
        <f t="shared" si="44"/>
        <v>#N/A</v>
      </c>
      <c r="C435" s="4" t="e">
        <f t="shared" si="45"/>
        <v>#N/A</v>
      </c>
      <c r="D435" s="4" t="e">
        <f t="shared" si="46"/>
        <v>#N/A</v>
      </c>
      <c r="E435" s="4" t="b">
        <f t="shared" si="47"/>
        <v>0</v>
      </c>
      <c r="F435" s="4" t="e">
        <f t="shared" si="51"/>
        <v>#N/A</v>
      </c>
      <c r="G435" s="4" t="e">
        <f t="shared" si="51"/>
        <v>#N/A</v>
      </c>
      <c r="H435" s="4" t="b">
        <f t="shared" si="49"/>
        <v>0</v>
      </c>
    </row>
    <row r="436" spans="1:8" ht="12.75" hidden="1">
      <c r="A436" s="21" t="b">
        <f t="shared" si="50"/>
        <v>0</v>
      </c>
      <c r="B436" t="e">
        <f aca="true" t="shared" si="52" ref="B436:B453">VLOOKUP(A436,$A$311:$AX$336,$T$5)</f>
        <v>#N/A</v>
      </c>
      <c r="C436" s="4" t="e">
        <f aca="true" t="shared" si="53" ref="C436:C453">IF(A436&lt;$B$399+1,LARGE($A$11:$A$61,A436),NA())</f>
        <v>#N/A</v>
      </c>
      <c r="D436" s="4" t="e">
        <f aca="true" t="shared" si="54" ref="D436:D453">IF(A436&lt;$B$399+1,SMALL($A$11:$A$61,A436),NA())</f>
        <v>#N/A</v>
      </c>
      <c r="E436" s="4" t="b">
        <f aca="true" t="shared" si="55" ref="E436:E453">IF(A436=FALSE,FALSE(),B436*(C436-D436))</f>
        <v>0</v>
      </c>
      <c r="F436" s="4" t="e">
        <f t="shared" si="51"/>
        <v>#N/A</v>
      </c>
      <c r="G436" s="4" t="e">
        <f t="shared" si="51"/>
        <v>#N/A</v>
      </c>
      <c r="H436" s="4" t="b">
        <f aca="true" t="shared" si="56" ref="H436:H453">IF(A436=FALSE,FALSE(),B436*(F436-G436))</f>
        <v>0</v>
      </c>
    </row>
    <row r="437" spans="1:8" ht="12.75" hidden="1">
      <c r="A437" s="21" t="b">
        <f aca="true" t="shared" si="57" ref="A437:A453">IF(A436&lt;$B$399,A436+1,FALSE())</f>
        <v>0</v>
      </c>
      <c r="B437" t="e">
        <f t="shared" si="52"/>
        <v>#N/A</v>
      </c>
      <c r="C437" s="4" t="e">
        <f t="shared" si="53"/>
        <v>#N/A</v>
      </c>
      <c r="D437" s="4" t="e">
        <f t="shared" si="54"/>
        <v>#N/A</v>
      </c>
      <c r="E437" s="4" t="b">
        <f t="shared" si="55"/>
        <v>0</v>
      </c>
      <c r="F437" s="4" t="e">
        <f t="shared" si="51"/>
        <v>#N/A</v>
      </c>
      <c r="G437" s="4" t="e">
        <f t="shared" si="51"/>
        <v>#N/A</v>
      </c>
      <c r="H437" s="4" t="b">
        <f t="shared" si="56"/>
        <v>0</v>
      </c>
    </row>
    <row r="438" spans="1:8" ht="12.75" hidden="1">
      <c r="A438" s="21" t="b">
        <f t="shared" si="57"/>
        <v>0</v>
      </c>
      <c r="B438" t="e">
        <f t="shared" si="52"/>
        <v>#N/A</v>
      </c>
      <c r="C438" s="4" t="e">
        <f t="shared" si="53"/>
        <v>#N/A</v>
      </c>
      <c r="D438" s="4" t="e">
        <f t="shared" si="54"/>
        <v>#N/A</v>
      </c>
      <c r="E438" s="4" t="b">
        <f t="shared" si="55"/>
        <v>0</v>
      </c>
      <c r="F438" s="4" t="e">
        <f t="shared" si="51"/>
        <v>#N/A</v>
      </c>
      <c r="G438" s="4" t="e">
        <f t="shared" si="51"/>
        <v>#N/A</v>
      </c>
      <c r="H438" s="4" t="b">
        <f t="shared" si="56"/>
        <v>0</v>
      </c>
    </row>
    <row r="439" spans="1:8" ht="12.75" hidden="1">
      <c r="A439" s="21" t="b">
        <f t="shared" si="57"/>
        <v>0</v>
      </c>
      <c r="B439" t="e">
        <f t="shared" si="52"/>
        <v>#N/A</v>
      </c>
      <c r="C439" s="4" t="e">
        <f t="shared" si="53"/>
        <v>#N/A</v>
      </c>
      <c r="D439" s="4" t="e">
        <f t="shared" si="54"/>
        <v>#N/A</v>
      </c>
      <c r="E439" s="4" t="b">
        <f t="shared" si="55"/>
        <v>0</v>
      </c>
      <c r="F439" s="4" t="e">
        <f t="shared" si="51"/>
        <v>#N/A</v>
      </c>
      <c r="G439" s="4" t="e">
        <f t="shared" si="51"/>
        <v>#N/A</v>
      </c>
      <c r="H439" s="4" t="b">
        <f t="shared" si="56"/>
        <v>0</v>
      </c>
    </row>
    <row r="440" spans="1:8" ht="12.75" hidden="1">
      <c r="A440" s="21" t="b">
        <f t="shared" si="57"/>
        <v>0</v>
      </c>
      <c r="B440" t="e">
        <f t="shared" si="52"/>
        <v>#N/A</v>
      </c>
      <c r="C440" s="4" t="e">
        <f t="shared" si="53"/>
        <v>#N/A</v>
      </c>
      <c r="D440" s="4" t="e">
        <f t="shared" si="54"/>
        <v>#N/A</v>
      </c>
      <c r="E440" s="4" t="b">
        <f t="shared" si="55"/>
        <v>0</v>
      </c>
      <c r="F440" s="4" t="e">
        <f t="shared" si="51"/>
        <v>#N/A</v>
      </c>
      <c r="G440" s="4" t="e">
        <f t="shared" si="51"/>
        <v>#N/A</v>
      </c>
      <c r="H440" s="4" t="b">
        <f t="shared" si="56"/>
        <v>0</v>
      </c>
    </row>
    <row r="441" spans="1:8" ht="12.75" hidden="1">
      <c r="A441" s="21" t="b">
        <f t="shared" si="57"/>
        <v>0</v>
      </c>
      <c r="B441" t="e">
        <f t="shared" si="52"/>
        <v>#N/A</v>
      </c>
      <c r="C441" s="4" t="e">
        <f t="shared" si="53"/>
        <v>#N/A</v>
      </c>
      <c r="D441" s="4" t="e">
        <f t="shared" si="54"/>
        <v>#N/A</v>
      </c>
      <c r="E441" s="4" t="b">
        <f t="shared" si="55"/>
        <v>0</v>
      </c>
      <c r="F441" s="4" t="e">
        <f t="shared" si="51"/>
        <v>#N/A</v>
      </c>
      <c r="G441" s="4" t="e">
        <f t="shared" si="51"/>
        <v>#N/A</v>
      </c>
      <c r="H441" s="4" t="b">
        <f t="shared" si="56"/>
        <v>0</v>
      </c>
    </row>
    <row r="442" spans="1:8" ht="12.75" hidden="1">
      <c r="A442" s="21" t="b">
        <f t="shared" si="57"/>
        <v>0</v>
      </c>
      <c r="B442" t="e">
        <f t="shared" si="52"/>
        <v>#N/A</v>
      </c>
      <c r="C442" s="4" t="e">
        <f t="shared" si="53"/>
        <v>#N/A</v>
      </c>
      <c r="D442" s="4" t="e">
        <f t="shared" si="54"/>
        <v>#N/A</v>
      </c>
      <c r="E442" s="4" t="b">
        <f t="shared" si="55"/>
        <v>0</v>
      </c>
      <c r="F442" s="4" t="e">
        <f t="shared" si="51"/>
        <v>#N/A</v>
      </c>
      <c r="G442" s="4" t="e">
        <f t="shared" si="51"/>
        <v>#N/A</v>
      </c>
      <c r="H442" s="4" t="b">
        <f t="shared" si="56"/>
        <v>0</v>
      </c>
    </row>
    <row r="443" spans="1:8" ht="12.75" hidden="1">
      <c r="A443" s="21" t="b">
        <f t="shared" si="57"/>
        <v>0</v>
      </c>
      <c r="B443" t="e">
        <f t="shared" si="52"/>
        <v>#N/A</v>
      </c>
      <c r="C443" s="4" t="e">
        <f t="shared" si="53"/>
        <v>#N/A</v>
      </c>
      <c r="D443" s="4" t="e">
        <f t="shared" si="54"/>
        <v>#N/A</v>
      </c>
      <c r="E443" s="4" t="b">
        <f t="shared" si="55"/>
        <v>0</v>
      </c>
      <c r="F443" s="4" t="e">
        <f t="shared" si="51"/>
        <v>#N/A</v>
      </c>
      <c r="G443" s="4" t="e">
        <f t="shared" si="51"/>
        <v>#N/A</v>
      </c>
      <c r="H443" s="4" t="b">
        <f t="shared" si="56"/>
        <v>0</v>
      </c>
    </row>
    <row r="444" spans="1:8" ht="12.75" hidden="1">
      <c r="A444" s="21" t="b">
        <f t="shared" si="57"/>
        <v>0</v>
      </c>
      <c r="B444" t="e">
        <f t="shared" si="52"/>
        <v>#N/A</v>
      </c>
      <c r="C444" s="4" t="e">
        <f t="shared" si="53"/>
        <v>#N/A</v>
      </c>
      <c r="D444" s="4" t="e">
        <f t="shared" si="54"/>
        <v>#N/A</v>
      </c>
      <c r="E444" s="4" t="b">
        <f t="shared" si="55"/>
        <v>0</v>
      </c>
      <c r="F444" s="4" t="e">
        <f aca="true" t="shared" si="58" ref="F444:G453">LN(C444)</f>
        <v>#N/A</v>
      </c>
      <c r="G444" s="4" t="e">
        <f t="shared" si="58"/>
        <v>#N/A</v>
      </c>
      <c r="H444" s="4" t="b">
        <f t="shared" si="56"/>
        <v>0</v>
      </c>
    </row>
    <row r="445" spans="1:8" ht="12.75" hidden="1">
      <c r="A445" s="21" t="b">
        <f t="shared" si="57"/>
        <v>0</v>
      </c>
      <c r="B445" t="e">
        <f t="shared" si="52"/>
        <v>#N/A</v>
      </c>
      <c r="C445" s="4" t="e">
        <f t="shared" si="53"/>
        <v>#N/A</v>
      </c>
      <c r="D445" s="4" t="e">
        <f t="shared" si="54"/>
        <v>#N/A</v>
      </c>
      <c r="E445" s="4" t="b">
        <f t="shared" si="55"/>
        <v>0</v>
      </c>
      <c r="F445" s="4" t="e">
        <f t="shared" si="58"/>
        <v>#N/A</v>
      </c>
      <c r="G445" s="4" t="e">
        <f t="shared" si="58"/>
        <v>#N/A</v>
      </c>
      <c r="H445" s="4" t="b">
        <f t="shared" si="56"/>
        <v>0</v>
      </c>
    </row>
    <row r="446" spans="1:8" ht="12.75" hidden="1">
      <c r="A446" s="21" t="b">
        <f t="shared" si="57"/>
        <v>0</v>
      </c>
      <c r="B446" t="e">
        <f t="shared" si="52"/>
        <v>#N/A</v>
      </c>
      <c r="C446" s="4" t="e">
        <f t="shared" si="53"/>
        <v>#N/A</v>
      </c>
      <c r="D446" s="4" t="e">
        <f t="shared" si="54"/>
        <v>#N/A</v>
      </c>
      <c r="E446" s="4" t="b">
        <f t="shared" si="55"/>
        <v>0</v>
      </c>
      <c r="F446" s="4" t="e">
        <f t="shared" si="58"/>
        <v>#N/A</v>
      </c>
      <c r="G446" s="4" t="e">
        <f t="shared" si="58"/>
        <v>#N/A</v>
      </c>
      <c r="H446" s="4" t="b">
        <f t="shared" si="56"/>
        <v>0</v>
      </c>
    </row>
    <row r="447" spans="1:8" ht="12.75" hidden="1">
      <c r="A447" s="21" t="b">
        <f t="shared" si="57"/>
        <v>0</v>
      </c>
      <c r="B447" t="e">
        <f t="shared" si="52"/>
        <v>#N/A</v>
      </c>
      <c r="C447" s="4" t="e">
        <f t="shared" si="53"/>
        <v>#N/A</v>
      </c>
      <c r="D447" s="4" t="e">
        <f t="shared" si="54"/>
        <v>#N/A</v>
      </c>
      <c r="E447" s="4" t="b">
        <f t="shared" si="55"/>
        <v>0</v>
      </c>
      <c r="F447" s="4" t="e">
        <f t="shared" si="58"/>
        <v>#N/A</v>
      </c>
      <c r="G447" s="4" t="e">
        <f t="shared" si="58"/>
        <v>#N/A</v>
      </c>
      <c r="H447" s="4" t="b">
        <f t="shared" si="56"/>
        <v>0</v>
      </c>
    </row>
    <row r="448" spans="1:8" ht="12.75" hidden="1">
      <c r="A448" s="21" t="b">
        <f t="shared" si="57"/>
        <v>0</v>
      </c>
      <c r="B448" t="e">
        <f t="shared" si="52"/>
        <v>#N/A</v>
      </c>
      <c r="C448" s="4" t="e">
        <f t="shared" si="53"/>
        <v>#N/A</v>
      </c>
      <c r="D448" s="4" t="e">
        <f t="shared" si="54"/>
        <v>#N/A</v>
      </c>
      <c r="E448" s="4" t="b">
        <f t="shared" si="55"/>
        <v>0</v>
      </c>
      <c r="F448" s="4" t="e">
        <f t="shared" si="58"/>
        <v>#N/A</v>
      </c>
      <c r="G448" s="4" t="e">
        <f t="shared" si="58"/>
        <v>#N/A</v>
      </c>
      <c r="H448" s="4" t="b">
        <f t="shared" si="56"/>
        <v>0</v>
      </c>
    </row>
    <row r="449" spans="1:8" ht="12.75" hidden="1">
      <c r="A449" s="21" t="b">
        <f t="shared" si="57"/>
        <v>0</v>
      </c>
      <c r="B449" t="e">
        <f t="shared" si="52"/>
        <v>#N/A</v>
      </c>
      <c r="C449" s="4" t="e">
        <f t="shared" si="53"/>
        <v>#N/A</v>
      </c>
      <c r="D449" s="4" t="e">
        <f t="shared" si="54"/>
        <v>#N/A</v>
      </c>
      <c r="E449" s="4" t="b">
        <f t="shared" si="55"/>
        <v>0</v>
      </c>
      <c r="F449" s="4" t="e">
        <f t="shared" si="58"/>
        <v>#N/A</v>
      </c>
      <c r="G449" s="4" t="e">
        <f t="shared" si="58"/>
        <v>#N/A</v>
      </c>
      <c r="H449" s="4" t="b">
        <f t="shared" si="56"/>
        <v>0</v>
      </c>
    </row>
    <row r="450" spans="1:8" ht="12.75" hidden="1">
      <c r="A450" s="21" t="b">
        <f t="shared" si="57"/>
        <v>0</v>
      </c>
      <c r="B450" t="e">
        <f t="shared" si="52"/>
        <v>#N/A</v>
      </c>
      <c r="C450" s="4" t="e">
        <f t="shared" si="53"/>
        <v>#N/A</v>
      </c>
      <c r="D450" s="4" t="e">
        <f t="shared" si="54"/>
        <v>#N/A</v>
      </c>
      <c r="E450" s="4" t="b">
        <f t="shared" si="55"/>
        <v>0</v>
      </c>
      <c r="F450" s="4" t="e">
        <f t="shared" si="58"/>
        <v>#N/A</v>
      </c>
      <c r="G450" s="4" t="e">
        <f t="shared" si="58"/>
        <v>#N/A</v>
      </c>
      <c r="H450" s="4" t="b">
        <f t="shared" si="56"/>
        <v>0</v>
      </c>
    </row>
    <row r="451" spans="1:8" ht="12.75" hidden="1">
      <c r="A451" s="21" t="b">
        <f t="shared" si="57"/>
        <v>0</v>
      </c>
      <c r="B451" t="e">
        <f t="shared" si="52"/>
        <v>#N/A</v>
      </c>
      <c r="C451" s="4" t="e">
        <f t="shared" si="53"/>
        <v>#N/A</v>
      </c>
      <c r="D451" s="4" t="e">
        <f t="shared" si="54"/>
        <v>#N/A</v>
      </c>
      <c r="E451" s="4" t="b">
        <f t="shared" si="55"/>
        <v>0</v>
      </c>
      <c r="F451" s="4" t="e">
        <f t="shared" si="58"/>
        <v>#N/A</v>
      </c>
      <c r="G451" s="4" t="e">
        <f t="shared" si="58"/>
        <v>#N/A</v>
      </c>
      <c r="H451" s="4" t="b">
        <f t="shared" si="56"/>
        <v>0</v>
      </c>
    </row>
    <row r="452" spans="1:8" ht="12.75" hidden="1">
      <c r="A452" s="21" t="b">
        <f t="shared" si="57"/>
        <v>0</v>
      </c>
      <c r="B452" t="e">
        <f t="shared" si="52"/>
        <v>#N/A</v>
      </c>
      <c r="C452" s="4" t="e">
        <f t="shared" si="53"/>
        <v>#N/A</v>
      </c>
      <c r="D452" s="4" t="e">
        <f t="shared" si="54"/>
        <v>#N/A</v>
      </c>
      <c r="E452" s="4" t="b">
        <f t="shared" si="55"/>
        <v>0</v>
      </c>
      <c r="F452" s="4" t="e">
        <f t="shared" si="58"/>
        <v>#N/A</v>
      </c>
      <c r="G452" s="4" t="e">
        <f t="shared" si="58"/>
        <v>#N/A</v>
      </c>
      <c r="H452" s="4" t="b">
        <f t="shared" si="56"/>
        <v>0</v>
      </c>
    </row>
    <row r="453" spans="1:8" ht="12.75" hidden="1">
      <c r="A453" s="21" t="b">
        <f t="shared" si="57"/>
        <v>0</v>
      </c>
      <c r="B453" t="e">
        <f t="shared" si="52"/>
        <v>#N/A</v>
      </c>
      <c r="C453" s="4" t="e">
        <f t="shared" si="53"/>
        <v>#N/A</v>
      </c>
      <c r="D453" s="4" t="e">
        <f t="shared" si="54"/>
        <v>#N/A</v>
      </c>
      <c r="E453" s="4" t="b">
        <f t="shared" si="55"/>
        <v>0</v>
      </c>
      <c r="F453" s="4" t="e">
        <f t="shared" si="58"/>
        <v>#N/A</v>
      </c>
      <c r="G453" s="4" t="e">
        <f t="shared" si="58"/>
        <v>#N/A</v>
      </c>
      <c r="H453" s="4" t="b">
        <f t="shared" si="56"/>
        <v>0</v>
      </c>
    </row>
    <row r="454" ht="12.75" hidden="1"/>
    <row r="455" spans="4:8" ht="12.75" hidden="1">
      <c r="D455" s="4" t="s">
        <v>227</v>
      </c>
      <c r="E455" s="4">
        <f>SUM(E404:E453)</f>
        <v>4.049740000000001</v>
      </c>
      <c r="G455" s="4" t="s">
        <v>228</v>
      </c>
      <c r="H455" s="4">
        <f>SUM(H404:H453)</f>
        <v>1.503279055680219</v>
      </c>
    </row>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sheetData>
  <sheetProtection/>
  <printOptions horizontalCentered="1" verticalCentered="1"/>
  <pageMargins left="0.5" right="0.5" top="0.5" bottom="0.5" header="0.5" footer="0.5"/>
  <pageSetup fitToHeight="3" fitToWidth="3" horizontalDpi="300" verticalDpi="300" orientation="portrait"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IHSTATS for AIHA EASC Book</dc:title>
  <dc:subject/>
  <dc:creator>3M</dc:creator>
  <cp:keywords/>
  <dc:description/>
  <cp:lastModifiedBy>Jim Myers</cp:lastModifiedBy>
  <cp:lastPrinted>1998-07-28T19:22:50Z</cp:lastPrinted>
  <dcterms:created xsi:type="dcterms:W3CDTF">1998-07-06T01:37:14Z</dcterms:created>
  <dcterms:modified xsi:type="dcterms:W3CDTF">2023-11-15T12:20:50Z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Craig Sorrell</vt:lpwstr>
  </property>
  <property fmtid="{D5CDD505-2E9C-101B-9397-08002B2CF9AE}" pid="3" name="xd_Signature">
    <vt:lpwstr/>
  </property>
  <property fmtid="{D5CDD505-2E9C-101B-9397-08002B2CF9AE}" pid="4" name="display_urn:schemas-microsoft-com:office:office#Author">
    <vt:lpwstr>Craig Sorrell</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ContentTypeId">
    <vt:lpwstr>0x01010024C0356B4C27934A904C1367BA0C9E22</vt:lpwstr>
  </property>
</Properties>
</file>